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85" windowWidth="15480" windowHeight="5085" tabRatio="653"/>
  </bookViews>
  <sheets>
    <sheet name="BDC -2 Ok" sheetId="2" r:id="rId1"/>
    <sheet name="BDC-3 Ok" sheetId="8" r:id="rId2"/>
    <sheet name="BDC -4 Ok" sheetId="10" r:id="rId3"/>
    <sheet name="BDC -5 new)" sheetId="11" r:id="rId4"/>
    <sheet name="performa " sheetId="5" state="hidden" r:id="rId5"/>
    <sheet name="BDC-4" sheetId="6" state="hidden" r:id="rId6"/>
    <sheet name="BDC -3" sheetId="4" state="hidden" r:id="rId7"/>
  </sheets>
  <externalReferences>
    <externalReference r:id="rId8"/>
  </externalReferences>
  <definedNames>
    <definedName name="_xlnm._FilterDatabase" localSheetId="0" hidden="1">'BDC -2 Ok'!$A$9:$R$141</definedName>
    <definedName name="_xlnm._FilterDatabase" localSheetId="6" hidden="1">'BDC -3'!$A$4:$T$103</definedName>
    <definedName name="_xlnm._FilterDatabase" localSheetId="2" hidden="1">'BDC -4 Ok'!$A$5:$R$71</definedName>
    <definedName name="_xlnm._FilterDatabase" localSheetId="3" hidden="1">'BDC -5 new)'!$A$1:$M$101</definedName>
    <definedName name="_xlnm._FilterDatabase" localSheetId="5" hidden="1">'BDC-4'!$A$9:$R$123</definedName>
    <definedName name="_xlnm._FilterDatabase" localSheetId="4" hidden="1">'performa '!$A$9:$R$19</definedName>
    <definedName name="_xlnm.Print_Area" localSheetId="6">'BDC -3'!$A$1:$T$103</definedName>
    <definedName name="_xlnm.Print_Area" localSheetId="1">'BDC-3 Ok'!$A$1:$L$350</definedName>
    <definedName name="_xlnm.Print_Area" localSheetId="5">'BDC-4'!$A$1:$R$166</definedName>
    <definedName name="_xlnm.Print_Area" localSheetId="4">'performa '!$A$1:$R$21</definedName>
    <definedName name="_xlnm.Print_Titles" localSheetId="0">'BDC -2 Ok'!$9:$11</definedName>
    <definedName name="_xlnm.Print_Titles" localSheetId="6">'BDC -3'!$4:$5</definedName>
    <definedName name="_xlnm.Print_Titles" localSheetId="2">'BDC -4 Ok'!$5:$7</definedName>
    <definedName name="_xlnm.Print_Titles" localSheetId="3">'BDC -5 new)'!$4:$6</definedName>
    <definedName name="_xlnm.Print_Titles" localSheetId="1">'BDC-3 Ok'!$9:$10</definedName>
    <definedName name="_xlnm.Print_Titles" localSheetId="5">'BDC-4'!$9:$11</definedName>
    <definedName name="_xlnm.Print_Titles" localSheetId="4">'performa '!$9:$11</definedName>
  </definedNames>
  <calcPr calcId="144525"/>
</workbook>
</file>

<file path=xl/calcChain.xml><?xml version="1.0" encoding="utf-8"?>
<calcChain xmlns="http://schemas.openxmlformats.org/spreadsheetml/2006/main">
  <c r="O81" i="2" l="1"/>
  <c r="L81" i="2"/>
  <c r="I81" i="2"/>
  <c r="P81" i="2" s="1"/>
  <c r="R81" i="2" s="1"/>
  <c r="F81" i="2"/>
  <c r="O73" i="2"/>
  <c r="I73" i="2"/>
  <c r="F73" i="2"/>
  <c r="J73" i="2" l="1"/>
  <c r="L73" i="2" s="1"/>
  <c r="P73" i="2" s="1"/>
  <c r="R73" i="2" s="1"/>
  <c r="J52" i="11"/>
  <c r="J53" i="11"/>
  <c r="H52" i="11"/>
  <c r="H53" i="11"/>
  <c r="F52" i="11"/>
  <c r="F115" i="10"/>
  <c r="J115" i="10" s="1"/>
  <c r="L115" i="10" s="1"/>
  <c r="P115" i="10" s="1"/>
  <c r="R115" i="10" s="1"/>
  <c r="I115" i="10"/>
  <c r="J129" i="8"/>
  <c r="H129" i="8"/>
  <c r="L129" i="8" s="1"/>
  <c r="F129" i="8"/>
  <c r="J346" i="8"/>
  <c r="H346" i="8"/>
  <c r="F346" i="8"/>
  <c r="L346" i="8" l="1"/>
  <c r="H76" i="11"/>
  <c r="J76" i="11"/>
  <c r="H77" i="11"/>
  <c r="J77" i="11"/>
  <c r="H78" i="11"/>
  <c r="J78" i="11"/>
  <c r="H79" i="11"/>
  <c r="J79" i="11"/>
  <c r="H85" i="11"/>
  <c r="J85" i="11"/>
  <c r="H80" i="11"/>
  <c r="J80" i="11"/>
  <c r="H81" i="11"/>
  <c r="J81" i="11"/>
  <c r="H82" i="11"/>
  <c r="J82" i="11"/>
  <c r="H83" i="11"/>
  <c r="J83" i="11"/>
  <c r="H84" i="11"/>
  <c r="J84" i="11"/>
  <c r="H86" i="11"/>
  <c r="J86" i="11"/>
  <c r="H87" i="11"/>
  <c r="J87" i="11"/>
  <c r="H88" i="11"/>
  <c r="J88" i="11"/>
  <c r="H89" i="11"/>
  <c r="J89" i="11"/>
  <c r="H90" i="11"/>
  <c r="J90" i="11"/>
  <c r="H91" i="11"/>
  <c r="J91" i="11"/>
  <c r="H92" i="11"/>
  <c r="J92" i="11"/>
  <c r="H93" i="11"/>
  <c r="J93" i="11"/>
  <c r="H94" i="11"/>
  <c r="J94" i="11"/>
  <c r="H95" i="11"/>
  <c r="J95" i="11"/>
  <c r="H96" i="11"/>
  <c r="J96" i="11"/>
  <c r="H97" i="11"/>
  <c r="J97" i="11"/>
  <c r="H98" i="11"/>
  <c r="J98" i="11"/>
  <c r="H100" i="11"/>
  <c r="J100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4" i="11"/>
  <c r="F83" i="11"/>
  <c r="F82" i="11"/>
  <c r="F81" i="11"/>
  <c r="F80" i="11"/>
  <c r="F85" i="11"/>
  <c r="F79" i="11"/>
  <c r="F78" i="11"/>
  <c r="F77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7" i="11"/>
  <c r="F56" i="11"/>
  <c r="F55" i="11"/>
  <c r="F54" i="11"/>
  <c r="F53" i="11"/>
  <c r="F51" i="11"/>
  <c r="F50" i="11"/>
  <c r="F49" i="11"/>
  <c r="F48" i="11"/>
  <c r="F46" i="11"/>
  <c r="F45" i="11"/>
  <c r="F44" i="11"/>
  <c r="F43" i="11"/>
  <c r="F30" i="11"/>
  <c r="F42" i="11"/>
  <c r="F41" i="11"/>
  <c r="F39" i="11"/>
  <c r="F36" i="11"/>
  <c r="F34" i="11"/>
  <c r="F33" i="11"/>
  <c r="F32" i="11"/>
  <c r="F31" i="11"/>
  <c r="F29" i="11"/>
  <c r="F28" i="11"/>
  <c r="F25" i="11"/>
  <c r="F24" i="11"/>
  <c r="F23" i="11"/>
  <c r="F20" i="11"/>
  <c r="F19" i="11"/>
  <c r="F18" i="11"/>
  <c r="F16" i="11"/>
  <c r="F15" i="11"/>
  <c r="F13" i="11"/>
  <c r="F12" i="11"/>
  <c r="F11" i="11"/>
  <c r="F10" i="11"/>
  <c r="F9" i="11"/>
  <c r="F8" i="11"/>
  <c r="F7" i="11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106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80" i="8"/>
  <c r="H73" i="8"/>
  <c r="H74" i="8"/>
  <c r="H75" i="8"/>
  <c r="H76" i="8"/>
  <c r="H77" i="8"/>
  <c r="H72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51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13" i="8"/>
  <c r="H14" i="8"/>
  <c r="H15" i="8"/>
  <c r="H16" i="8"/>
  <c r="H17" i="8"/>
  <c r="H12" i="8"/>
  <c r="K179" i="8"/>
  <c r="K173" i="8"/>
  <c r="K155" i="8"/>
  <c r="K144" i="8"/>
  <c r="K143" i="8"/>
  <c r="K106" i="8"/>
  <c r="K103" i="8"/>
  <c r="K51" i="8"/>
  <c r="K46" i="8"/>
  <c r="K23" i="8"/>
  <c r="J322" i="8"/>
  <c r="L322" i="8" s="1"/>
  <c r="J321" i="8"/>
  <c r="G18" i="8"/>
  <c r="G21" i="8"/>
  <c r="G23" i="8"/>
  <c r="G49" i="8" s="1"/>
  <c r="G70" i="8"/>
  <c r="G78" i="8"/>
  <c r="G104" i="8"/>
  <c r="L321" i="8" l="1"/>
  <c r="H23" i="8"/>
  <c r="R124" i="10"/>
  <c r="O124" i="10"/>
  <c r="L124" i="10"/>
  <c r="I124" i="10"/>
  <c r="F124" i="10"/>
  <c r="O108" i="10"/>
  <c r="L108" i="10"/>
  <c r="I108" i="10"/>
  <c r="F108" i="10"/>
  <c r="O100" i="10"/>
  <c r="I100" i="10"/>
  <c r="F100" i="10"/>
  <c r="O95" i="10"/>
  <c r="I95" i="10"/>
  <c r="F95" i="10"/>
  <c r="O87" i="10"/>
  <c r="I87" i="10"/>
  <c r="F87" i="10"/>
  <c r="O123" i="10"/>
  <c r="L123" i="10"/>
  <c r="I123" i="10"/>
  <c r="F123" i="10"/>
  <c r="O122" i="10"/>
  <c r="I122" i="10"/>
  <c r="F122" i="10"/>
  <c r="O121" i="10"/>
  <c r="I121" i="10"/>
  <c r="F121" i="10"/>
  <c r="I120" i="10"/>
  <c r="O119" i="10"/>
  <c r="I119" i="10"/>
  <c r="F119" i="10"/>
  <c r="O107" i="10"/>
  <c r="I107" i="10"/>
  <c r="F107" i="10"/>
  <c r="O106" i="10"/>
  <c r="L106" i="10"/>
  <c r="I106" i="10"/>
  <c r="F106" i="10"/>
  <c r="O105" i="10"/>
  <c r="I105" i="10"/>
  <c r="F105" i="10"/>
  <c r="O99" i="10"/>
  <c r="I99" i="10"/>
  <c r="F99" i="10"/>
  <c r="O98" i="10"/>
  <c r="I98" i="10"/>
  <c r="F98" i="10"/>
  <c r="O96" i="10"/>
  <c r="I96" i="10"/>
  <c r="F96" i="10"/>
  <c r="I86" i="10"/>
  <c r="R118" i="10"/>
  <c r="O118" i="10"/>
  <c r="I118" i="10"/>
  <c r="F118" i="10"/>
  <c r="R94" i="10"/>
  <c r="O94" i="10"/>
  <c r="I94" i="10"/>
  <c r="F94" i="10"/>
  <c r="R74" i="10"/>
  <c r="O74" i="10"/>
  <c r="I74" i="10"/>
  <c r="F74" i="10"/>
  <c r="O117" i="10"/>
  <c r="I117" i="10"/>
  <c r="F117" i="10"/>
  <c r="O85" i="10"/>
  <c r="I85" i="10"/>
  <c r="F85" i="10"/>
  <c r="O84" i="10"/>
  <c r="I84" i="10"/>
  <c r="F84" i="10"/>
  <c r="O83" i="10"/>
  <c r="I83" i="10"/>
  <c r="F83" i="10"/>
  <c r="O82" i="10"/>
  <c r="I82" i="10"/>
  <c r="F82" i="10"/>
  <c r="I104" i="10"/>
  <c r="F104" i="10"/>
  <c r="O73" i="10"/>
  <c r="I73" i="10"/>
  <c r="F73" i="10"/>
  <c r="O81" i="10"/>
  <c r="I81" i="10"/>
  <c r="F81" i="10"/>
  <c r="O80" i="10"/>
  <c r="I80" i="10"/>
  <c r="F80" i="10"/>
  <c r="O72" i="10"/>
  <c r="I72" i="10"/>
  <c r="F72" i="10"/>
  <c r="O70" i="10"/>
  <c r="I70" i="10"/>
  <c r="F70" i="10"/>
  <c r="O69" i="10"/>
  <c r="I69" i="10"/>
  <c r="F69" i="10"/>
  <c r="O68" i="10"/>
  <c r="I68" i="10"/>
  <c r="F68" i="10"/>
  <c r="O71" i="10"/>
  <c r="I71" i="10"/>
  <c r="F71" i="10"/>
  <c r="O67" i="10"/>
  <c r="I67" i="10"/>
  <c r="F67" i="10"/>
  <c r="O66" i="10"/>
  <c r="I66" i="10"/>
  <c r="F66" i="10"/>
  <c r="O65" i="10"/>
  <c r="I65" i="10"/>
  <c r="F65" i="10"/>
  <c r="O45" i="10"/>
  <c r="I45" i="10"/>
  <c r="F45" i="10"/>
  <c r="O39" i="10"/>
  <c r="I39" i="10"/>
  <c r="F39" i="10"/>
  <c r="O38" i="10"/>
  <c r="I38" i="10"/>
  <c r="F38" i="10"/>
  <c r="O37" i="10"/>
  <c r="I37" i="10"/>
  <c r="F37" i="10"/>
  <c r="I23" i="10"/>
  <c r="F23" i="10"/>
  <c r="O22" i="10"/>
  <c r="I22" i="10"/>
  <c r="F22" i="10"/>
  <c r="O41" i="10"/>
  <c r="I41" i="10"/>
  <c r="F41" i="10"/>
  <c r="O19" i="10"/>
  <c r="I19" i="10"/>
  <c r="F19" i="10"/>
  <c r="O14" i="10"/>
  <c r="I14" i="10"/>
  <c r="F14" i="10"/>
  <c r="O116" i="10"/>
  <c r="I116" i="10"/>
  <c r="F116" i="10"/>
  <c r="I114" i="10"/>
  <c r="F114" i="10"/>
  <c r="O113" i="10"/>
  <c r="I113" i="10"/>
  <c r="F113" i="10"/>
  <c r="O93" i="10"/>
  <c r="I93" i="10"/>
  <c r="F93" i="10"/>
  <c r="O92" i="10"/>
  <c r="I92" i="10"/>
  <c r="F92" i="10"/>
  <c r="O91" i="10"/>
  <c r="I91" i="10"/>
  <c r="F91" i="10"/>
  <c r="R90" i="10"/>
  <c r="O90" i="10"/>
  <c r="I90" i="10"/>
  <c r="F90" i="10"/>
  <c r="I63" i="10"/>
  <c r="F63" i="10"/>
  <c r="O62" i="10"/>
  <c r="I62" i="10"/>
  <c r="F62" i="10"/>
  <c r="O61" i="10"/>
  <c r="I61" i="10"/>
  <c r="F61" i="10"/>
  <c r="O60" i="10"/>
  <c r="I60" i="10"/>
  <c r="F60" i="10"/>
  <c r="O43" i="10"/>
  <c r="I43" i="10"/>
  <c r="F43" i="10"/>
  <c r="O34" i="10"/>
  <c r="I34" i="10"/>
  <c r="F34" i="10"/>
  <c r="O21" i="10"/>
  <c r="I21" i="10"/>
  <c r="F21" i="10"/>
  <c r="I13" i="10"/>
  <c r="F13" i="10"/>
  <c r="L103" i="10"/>
  <c r="I103" i="10"/>
  <c r="F103" i="10"/>
  <c r="L79" i="10"/>
  <c r="I79" i="10"/>
  <c r="F79" i="10"/>
  <c r="L59" i="10"/>
  <c r="I59" i="10"/>
  <c r="F59" i="10"/>
  <c r="L58" i="10"/>
  <c r="I58" i="10"/>
  <c r="F58" i="10"/>
  <c r="R12" i="10"/>
  <c r="L12" i="10"/>
  <c r="I12" i="10"/>
  <c r="F12" i="10"/>
  <c r="I126" i="10"/>
  <c r="F126" i="10"/>
  <c r="I102" i="10"/>
  <c r="F102" i="10"/>
  <c r="R57" i="10"/>
  <c r="I57" i="10"/>
  <c r="F57" i="10"/>
  <c r="I56" i="10"/>
  <c r="F56" i="10"/>
  <c r="I55" i="10"/>
  <c r="F55" i="10"/>
  <c r="O54" i="10"/>
  <c r="I54" i="10"/>
  <c r="F54" i="10"/>
  <c r="O53" i="10"/>
  <c r="I53" i="10"/>
  <c r="F53" i="10"/>
  <c r="I31" i="10"/>
  <c r="F31" i="10"/>
  <c r="I30" i="10"/>
  <c r="F30" i="10"/>
  <c r="I29" i="10"/>
  <c r="F29" i="10"/>
  <c r="O28" i="10"/>
  <c r="I28" i="10"/>
  <c r="F28" i="10"/>
  <c r="O17" i="10"/>
  <c r="I17" i="10"/>
  <c r="F17" i="10"/>
  <c r="R11" i="10"/>
  <c r="O11" i="10"/>
  <c r="I11" i="10"/>
  <c r="F11" i="10"/>
  <c r="I125" i="10"/>
  <c r="F125" i="10"/>
  <c r="I112" i="10"/>
  <c r="F112" i="10"/>
  <c r="I111" i="10"/>
  <c r="F111" i="10"/>
  <c r="L89" i="10"/>
  <c r="I89" i="10"/>
  <c r="F89" i="10"/>
  <c r="I101" i="10"/>
  <c r="F101" i="10"/>
  <c r="O110" i="10"/>
  <c r="I110" i="10"/>
  <c r="F110" i="10"/>
  <c r="I78" i="10"/>
  <c r="F78" i="10"/>
  <c r="O77" i="10"/>
  <c r="I77" i="10"/>
  <c r="F77" i="10"/>
  <c r="O50" i="10"/>
  <c r="I50" i="10"/>
  <c r="F50" i="10"/>
  <c r="O48" i="10"/>
  <c r="I48" i="10"/>
  <c r="F48" i="10"/>
  <c r="O47" i="10"/>
  <c r="L47" i="10"/>
  <c r="I47" i="10"/>
  <c r="O42" i="10"/>
  <c r="I42" i="10"/>
  <c r="F42" i="10"/>
  <c r="O40" i="10"/>
  <c r="I40" i="10"/>
  <c r="F40" i="10"/>
  <c r="O25" i="10"/>
  <c r="I25" i="10"/>
  <c r="J25" i="10" s="1"/>
  <c r="L25" i="10" s="1"/>
  <c r="O24" i="10"/>
  <c r="I24" i="10"/>
  <c r="F24" i="10"/>
  <c r="O16" i="10"/>
  <c r="I16" i="10"/>
  <c r="F16" i="10"/>
  <c r="R10" i="10"/>
  <c r="O10" i="10"/>
  <c r="I10" i="10"/>
  <c r="F10" i="10"/>
  <c r="L9" i="10"/>
  <c r="I9" i="10"/>
  <c r="F9" i="10"/>
  <c r="L109" i="10"/>
  <c r="I109" i="10"/>
  <c r="F109" i="10"/>
  <c r="L88" i="10"/>
  <c r="I88" i="10"/>
  <c r="F88" i="10"/>
  <c r="R76" i="10"/>
  <c r="R75" i="10"/>
  <c r="L46" i="10"/>
  <c r="I46" i="10"/>
  <c r="F46" i="10"/>
  <c r="L8" i="10"/>
  <c r="I8" i="10"/>
  <c r="F8" i="10"/>
  <c r="J82" i="10" l="1"/>
  <c r="L82" i="10" s="1"/>
  <c r="P82" i="10" s="1"/>
  <c r="R82" i="10" s="1"/>
  <c r="J102" i="10"/>
  <c r="L102" i="10" s="1"/>
  <c r="P102" i="10" s="1"/>
  <c r="R102" i="10" s="1"/>
  <c r="J71" i="10"/>
  <c r="L71" i="10" s="1"/>
  <c r="P71" i="10" s="1"/>
  <c r="R71" i="10" s="1"/>
  <c r="J72" i="10"/>
  <c r="L72" i="10" s="1"/>
  <c r="P72" i="10" s="1"/>
  <c r="R72" i="10" s="1"/>
  <c r="J104" i="10"/>
  <c r="L104" i="10" s="1"/>
  <c r="P104" i="10" s="1"/>
  <c r="R104" i="10" s="1"/>
  <c r="P106" i="10"/>
  <c r="R106" i="10" s="1"/>
  <c r="J122" i="10"/>
  <c r="L122" i="10" s="1"/>
  <c r="P122" i="10" s="1"/>
  <c r="R122" i="10" s="1"/>
  <c r="P123" i="10"/>
  <c r="R123" i="10" s="1"/>
  <c r="J17" i="10"/>
  <c r="L17" i="10" s="1"/>
  <c r="P17" i="10" s="1"/>
  <c r="R17" i="10" s="1"/>
  <c r="J112" i="10"/>
  <c r="L112" i="10" s="1"/>
  <c r="P112" i="10" s="1"/>
  <c r="R112" i="10" s="1"/>
  <c r="J29" i="10"/>
  <c r="L29" i="10" s="1"/>
  <c r="P29" i="10" s="1"/>
  <c r="R29" i="10" s="1"/>
  <c r="J31" i="10"/>
  <c r="L31" i="10" s="1"/>
  <c r="P31" i="10" s="1"/>
  <c r="R31" i="10" s="1"/>
  <c r="J54" i="10"/>
  <c r="L54" i="10" s="1"/>
  <c r="P54" i="10" s="1"/>
  <c r="R54" i="10" s="1"/>
  <c r="P88" i="10"/>
  <c r="R88" i="10" s="1"/>
  <c r="J48" i="10"/>
  <c r="L48" i="10" s="1"/>
  <c r="P48" i="10" s="1"/>
  <c r="R48" i="10" s="1"/>
  <c r="J28" i="10"/>
  <c r="L28" i="10" s="1"/>
  <c r="P28" i="10" s="1"/>
  <c r="R28" i="10" s="1"/>
  <c r="J66" i="10"/>
  <c r="L66" i="10" s="1"/>
  <c r="P66" i="10" s="1"/>
  <c r="R66" i="10" s="1"/>
  <c r="P9" i="10"/>
  <c r="R9" i="10" s="1"/>
  <c r="P47" i="10"/>
  <c r="R47" i="10" s="1"/>
  <c r="J92" i="10"/>
  <c r="L92" i="10" s="1"/>
  <c r="P92" i="10" s="1"/>
  <c r="R92" i="10" s="1"/>
  <c r="J23" i="10"/>
  <c r="L23" i="10" s="1"/>
  <c r="P23" i="10" s="1"/>
  <c r="R23" i="10" s="1"/>
  <c r="J39" i="10"/>
  <c r="L39" i="10" s="1"/>
  <c r="P39" i="10" s="1"/>
  <c r="R39" i="10" s="1"/>
  <c r="P79" i="10"/>
  <c r="R79" i="10" s="1"/>
  <c r="J50" i="10"/>
  <c r="L50" i="10" s="1"/>
  <c r="P50" i="10" s="1"/>
  <c r="R50" i="10" s="1"/>
  <c r="J110" i="10"/>
  <c r="L110" i="10" s="1"/>
  <c r="P110" i="10" s="1"/>
  <c r="R110" i="10" s="1"/>
  <c r="J111" i="10"/>
  <c r="L111" i="10" s="1"/>
  <c r="P111" i="10" s="1"/>
  <c r="R111" i="10" s="1"/>
  <c r="J125" i="10"/>
  <c r="L125" i="10" s="1"/>
  <c r="P125" i="10" s="1"/>
  <c r="R125" i="10" s="1"/>
  <c r="J53" i="10"/>
  <c r="L53" i="10" s="1"/>
  <c r="P53" i="10" s="1"/>
  <c r="R53" i="10" s="1"/>
  <c r="J126" i="10"/>
  <c r="L126" i="10" s="1"/>
  <c r="P126" i="10" s="1"/>
  <c r="R126" i="10" s="1"/>
  <c r="P103" i="10"/>
  <c r="R103" i="10" s="1"/>
  <c r="J21" i="10"/>
  <c r="L21" i="10" s="1"/>
  <c r="P21" i="10" s="1"/>
  <c r="R21" i="10" s="1"/>
  <c r="J22" i="10"/>
  <c r="L22" i="10" s="1"/>
  <c r="P22" i="10" s="1"/>
  <c r="R22" i="10" s="1"/>
  <c r="J38" i="10"/>
  <c r="L38" i="10" s="1"/>
  <c r="P38" i="10" s="1"/>
  <c r="R38" i="10" s="1"/>
  <c r="J67" i="10"/>
  <c r="L67" i="10" s="1"/>
  <c r="P67" i="10" s="1"/>
  <c r="R67" i="10" s="1"/>
  <c r="J73" i="10"/>
  <c r="L73" i="10" s="1"/>
  <c r="P73" i="10" s="1"/>
  <c r="R73" i="10" s="1"/>
  <c r="J84" i="10"/>
  <c r="L84" i="10" s="1"/>
  <c r="P84" i="10" s="1"/>
  <c r="R84" i="10" s="1"/>
  <c r="J121" i="10"/>
  <c r="L121" i="10" s="1"/>
  <c r="P121" i="10" s="1"/>
  <c r="R121" i="10" s="1"/>
  <c r="J100" i="10"/>
  <c r="L100" i="10" s="1"/>
  <c r="P100" i="10" s="1"/>
  <c r="R100" i="10" s="1"/>
  <c r="P108" i="10"/>
  <c r="R108" i="10" s="1"/>
  <c r="P8" i="10"/>
  <c r="R8" i="10" s="1"/>
  <c r="J118" i="10"/>
  <c r="L118" i="10" s="1"/>
  <c r="J16" i="10"/>
  <c r="L16" i="10" s="1"/>
  <c r="P16" i="10" s="1"/>
  <c r="R16" i="10" s="1"/>
  <c r="J24" i="10"/>
  <c r="L24" i="10" s="1"/>
  <c r="P24" i="10" s="1"/>
  <c r="R24" i="10" s="1"/>
  <c r="J42" i="10"/>
  <c r="L42" i="10" s="1"/>
  <c r="P42" i="10" s="1"/>
  <c r="R42" i="10" s="1"/>
  <c r="J60" i="10"/>
  <c r="L60" i="10" s="1"/>
  <c r="P60" i="10" s="1"/>
  <c r="R60" i="10" s="1"/>
  <c r="J113" i="10"/>
  <c r="L113" i="10" s="1"/>
  <c r="P113" i="10" s="1"/>
  <c r="R113" i="10" s="1"/>
  <c r="J81" i="10"/>
  <c r="L81" i="10" s="1"/>
  <c r="P81" i="10" s="1"/>
  <c r="R81" i="10" s="1"/>
  <c r="J83" i="10"/>
  <c r="L83" i="10" s="1"/>
  <c r="P83" i="10" s="1"/>
  <c r="R83" i="10" s="1"/>
  <c r="J98" i="10"/>
  <c r="L98" i="10" s="1"/>
  <c r="P98" i="10" s="1"/>
  <c r="R98" i="10" s="1"/>
  <c r="J40" i="10"/>
  <c r="L40" i="10" s="1"/>
  <c r="P40" i="10" s="1"/>
  <c r="R40" i="10" s="1"/>
  <c r="J77" i="10"/>
  <c r="L77" i="10" s="1"/>
  <c r="P77" i="10" s="1"/>
  <c r="R77" i="10" s="1"/>
  <c r="J34" i="10"/>
  <c r="L34" i="10" s="1"/>
  <c r="P34" i="10" s="1"/>
  <c r="R34" i="10" s="1"/>
  <c r="J62" i="10"/>
  <c r="L62" i="10" s="1"/>
  <c r="P62" i="10" s="1"/>
  <c r="R62" i="10" s="1"/>
  <c r="J93" i="10"/>
  <c r="L93" i="10" s="1"/>
  <c r="P93" i="10" s="1"/>
  <c r="R93" i="10" s="1"/>
  <c r="J19" i="10"/>
  <c r="L19" i="10" s="1"/>
  <c r="P19" i="10" s="1"/>
  <c r="R19" i="10" s="1"/>
  <c r="J45" i="10"/>
  <c r="L45" i="10" s="1"/>
  <c r="P45" i="10" s="1"/>
  <c r="R45" i="10" s="1"/>
  <c r="J80" i="10"/>
  <c r="L80" i="10" s="1"/>
  <c r="P80" i="10" s="1"/>
  <c r="R80" i="10" s="1"/>
  <c r="J96" i="10"/>
  <c r="L96" i="10" s="1"/>
  <c r="P96" i="10" s="1"/>
  <c r="R96" i="10" s="1"/>
  <c r="J107" i="10"/>
  <c r="L107" i="10" s="1"/>
  <c r="P107" i="10" s="1"/>
  <c r="R107" i="10" s="1"/>
  <c r="P46" i="10"/>
  <c r="R46" i="10" s="1"/>
  <c r="P109" i="10"/>
  <c r="R109" i="10" s="1"/>
  <c r="J78" i="10"/>
  <c r="L78" i="10" s="1"/>
  <c r="P78" i="10" s="1"/>
  <c r="R78" i="10" s="1"/>
  <c r="P89" i="10"/>
  <c r="R89" i="10" s="1"/>
  <c r="J11" i="10"/>
  <c r="L11" i="10" s="1"/>
  <c r="J55" i="10"/>
  <c r="L55" i="10" s="1"/>
  <c r="P55" i="10" s="1"/>
  <c r="R55" i="10" s="1"/>
  <c r="J57" i="10"/>
  <c r="L57" i="10" s="1"/>
  <c r="P59" i="10"/>
  <c r="R59" i="10" s="1"/>
  <c r="J61" i="10"/>
  <c r="L61" i="10" s="1"/>
  <c r="P61" i="10" s="1"/>
  <c r="R61" i="10" s="1"/>
  <c r="J90" i="10"/>
  <c r="L90" i="10" s="1"/>
  <c r="J14" i="10"/>
  <c r="L14" i="10" s="1"/>
  <c r="P14" i="10" s="1"/>
  <c r="R14" i="10" s="1"/>
  <c r="J70" i="10"/>
  <c r="L70" i="10" s="1"/>
  <c r="P70" i="10" s="1"/>
  <c r="R70" i="10" s="1"/>
  <c r="J94" i="10"/>
  <c r="L94" i="10" s="1"/>
  <c r="J99" i="10"/>
  <c r="L99" i="10" s="1"/>
  <c r="P99" i="10" s="1"/>
  <c r="R99" i="10" s="1"/>
  <c r="J105" i="10"/>
  <c r="L105" i="10" s="1"/>
  <c r="P105" i="10" s="1"/>
  <c r="R105" i="10" s="1"/>
  <c r="J95" i="10"/>
  <c r="L95" i="10" s="1"/>
  <c r="P95" i="10" s="1"/>
  <c r="R95" i="10" s="1"/>
  <c r="J101" i="10"/>
  <c r="L101" i="10" s="1"/>
  <c r="P101" i="10" s="1"/>
  <c r="R101" i="10" s="1"/>
  <c r="J10" i="10"/>
  <c r="L10" i="10" s="1"/>
  <c r="P58" i="10"/>
  <c r="R58" i="10" s="1"/>
  <c r="J13" i="10"/>
  <c r="L13" i="10" s="1"/>
  <c r="P13" i="10" s="1"/>
  <c r="R13" i="10" s="1"/>
  <c r="J43" i="10"/>
  <c r="L43" i="10" s="1"/>
  <c r="P43" i="10" s="1"/>
  <c r="R43" i="10" s="1"/>
  <c r="J68" i="10"/>
  <c r="L68" i="10" s="1"/>
  <c r="P68" i="10" s="1"/>
  <c r="R68" i="10" s="1"/>
  <c r="J69" i="10"/>
  <c r="L69" i="10" s="1"/>
  <c r="P69" i="10" s="1"/>
  <c r="R69" i="10" s="1"/>
  <c r="J85" i="10"/>
  <c r="L85" i="10" s="1"/>
  <c r="P85" i="10" s="1"/>
  <c r="R85" i="10" s="1"/>
  <c r="J117" i="10"/>
  <c r="L117" i="10" s="1"/>
  <c r="P117" i="10" s="1"/>
  <c r="R117" i="10" s="1"/>
  <c r="J119" i="10"/>
  <c r="L119" i="10" s="1"/>
  <c r="P119" i="10" s="1"/>
  <c r="R119" i="10" s="1"/>
  <c r="J87" i="10"/>
  <c r="L87" i="10" s="1"/>
  <c r="P87" i="10" s="1"/>
  <c r="R87" i="10" s="1"/>
  <c r="J65" i="10"/>
  <c r="L65" i="10" s="1"/>
  <c r="P65" i="10" s="1"/>
  <c r="R65" i="10" s="1"/>
  <c r="J41" i="10"/>
  <c r="L41" i="10" s="1"/>
  <c r="P41" i="10" s="1"/>
  <c r="R41" i="10" s="1"/>
  <c r="J37" i="10"/>
  <c r="L37" i="10" s="1"/>
  <c r="P37" i="10" s="1"/>
  <c r="R37" i="10" s="1"/>
  <c r="J91" i="10"/>
  <c r="L91" i="10" s="1"/>
  <c r="P91" i="10" s="1"/>
  <c r="R91" i="10" s="1"/>
  <c r="J114" i="10"/>
  <c r="L114" i="10" s="1"/>
  <c r="P114" i="10" s="1"/>
  <c r="R114" i="10" s="1"/>
  <c r="J63" i="10"/>
  <c r="L63" i="10" s="1"/>
  <c r="P63" i="10" s="1"/>
  <c r="R63" i="10" s="1"/>
  <c r="J116" i="10"/>
  <c r="L116" i="10" s="1"/>
  <c r="P116" i="10" s="1"/>
  <c r="R116" i="10" s="1"/>
  <c r="J30" i="10"/>
  <c r="L30" i="10" s="1"/>
  <c r="P30" i="10" s="1"/>
  <c r="R30" i="10" s="1"/>
  <c r="J56" i="10"/>
  <c r="L56" i="10" s="1"/>
  <c r="P56" i="10" s="1"/>
  <c r="R56" i="10" s="1"/>
  <c r="P25" i="10"/>
  <c r="R25" i="10" s="1"/>
  <c r="J102" i="8"/>
  <c r="F102" i="8"/>
  <c r="J101" i="8"/>
  <c r="F101" i="8"/>
  <c r="J100" i="8"/>
  <c r="L100" i="8" s="1"/>
  <c r="F100" i="8"/>
  <c r="J99" i="8"/>
  <c r="F99" i="8"/>
  <c r="J96" i="8"/>
  <c r="F96" i="8"/>
  <c r="J87" i="8"/>
  <c r="L87" i="8" s="1"/>
  <c r="F87" i="8"/>
  <c r="F103" i="8"/>
  <c r="F98" i="8"/>
  <c r="F97" i="8"/>
  <c r="F95" i="8"/>
  <c r="F94" i="8"/>
  <c r="F93" i="8"/>
  <c r="F92" i="8"/>
  <c r="F91" i="8"/>
  <c r="F90" i="8"/>
  <c r="F89" i="8"/>
  <c r="F88" i="8"/>
  <c r="F86" i="8"/>
  <c r="F84" i="8"/>
  <c r="F83" i="8"/>
  <c r="F81" i="8"/>
  <c r="F80" i="8"/>
  <c r="J345" i="8"/>
  <c r="L345" i="8" s="1"/>
  <c r="F345" i="8"/>
  <c r="J344" i="8"/>
  <c r="L344" i="8" s="1"/>
  <c r="F344" i="8"/>
  <c r="J343" i="8"/>
  <c r="F343" i="8"/>
  <c r="J342" i="8"/>
  <c r="F342" i="8"/>
  <c r="J341" i="8"/>
  <c r="L341" i="8" s="1"/>
  <c r="F341" i="8"/>
  <c r="J340" i="8"/>
  <c r="F340" i="8"/>
  <c r="J339" i="8"/>
  <c r="F339" i="8"/>
  <c r="J338" i="8"/>
  <c r="F338" i="8"/>
  <c r="J337" i="8"/>
  <c r="L337" i="8" s="1"/>
  <c r="F337" i="8"/>
  <c r="J336" i="8"/>
  <c r="F336" i="8"/>
  <c r="J335" i="8"/>
  <c r="F335" i="8"/>
  <c r="J334" i="8"/>
  <c r="F334" i="8"/>
  <c r="J333" i="8"/>
  <c r="L333" i="8" s="1"/>
  <c r="F333" i="8"/>
  <c r="J332" i="8"/>
  <c r="F332" i="8"/>
  <c r="J331" i="8"/>
  <c r="F331" i="8"/>
  <c r="J330" i="8"/>
  <c r="F330" i="8"/>
  <c r="J329" i="8"/>
  <c r="L329" i="8" s="1"/>
  <c r="F329" i="8"/>
  <c r="J328" i="8"/>
  <c r="F328" i="8"/>
  <c r="J327" i="8"/>
  <c r="F327" i="8"/>
  <c r="J326" i="8"/>
  <c r="F326" i="8"/>
  <c r="J325" i="8"/>
  <c r="L325" i="8" s="1"/>
  <c r="F325" i="8"/>
  <c r="J324" i="8"/>
  <c r="F324" i="8"/>
  <c r="J323" i="8"/>
  <c r="F323" i="8"/>
  <c r="F322" i="8"/>
  <c r="F321" i="8"/>
  <c r="J320" i="8"/>
  <c r="F320" i="8"/>
  <c r="J319" i="8"/>
  <c r="F319" i="8"/>
  <c r="J318" i="8"/>
  <c r="F318" i="8"/>
  <c r="J317" i="8"/>
  <c r="L317" i="8" s="1"/>
  <c r="F317" i="8"/>
  <c r="J316" i="8"/>
  <c r="F316" i="8"/>
  <c r="J315" i="8"/>
  <c r="F315" i="8"/>
  <c r="J314" i="8"/>
  <c r="F314" i="8"/>
  <c r="J313" i="8"/>
  <c r="L313" i="8" s="1"/>
  <c r="F313" i="8"/>
  <c r="J312" i="8"/>
  <c r="F312" i="8"/>
  <c r="J311" i="8"/>
  <c r="F311" i="8"/>
  <c r="J310" i="8"/>
  <c r="F310" i="8"/>
  <c r="J309" i="8"/>
  <c r="F309" i="8"/>
  <c r="J308" i="8"/>
  <c r="F308" i="8"/>
  <c r="J307" i="8"/>
  <c r="L307" i="8" s="1"/>
  <c r="F307" i="8"/>
  <c r="J306" i="8"/>
  <c r="F306" i="8"/>
  <c r="J305" i="8"/>
  <c r="F305" i="8"/>
  <c r="J304" i="8"/>
  <c r="L304" i="8" s="1"/>
  <c r="F304" i="8"/>
  <c r="L303" i="8"/>
  <c r="J303" i="8"/>
  <c r="F303" i="8"/>
  <c r="J302" i="8"/>
  <c r="L302" i="8" s="1"/>
  <c r="F302" i="8"/>
  <c r="J301" i="8"/>
  <c r="L301" i="8" s="1"/>
  <c r="F301" i="8"/>
  <c r="L300" i="8"/>
  <c r="J300" i="8"/>
  <c r="F300" i="8"/>
  <c r="J299" i="8"/>
  <c r="L299" i="8" s="1"/>
  <c r="F299" i="8"/>
  <c r="J298" i="8"/>
  <c r="L298" i="8" s="1"/>
  <c r="F298" i="8"/>
  <c r="J297" i="8"/>
  <c r="L297" i="8" s="1"/>
  <c r="F297" i="8"/>
  <c r="J296" i="8"/>
  <c r="L296" i="8" s="1"/>
  <c r="F296" i="8"/>
  <c r="L295" i="8"/>
  <c r="J295" i="8"/>
  <c r="F295" i="8"/>
  <c r="J294" i="8"/>
  <c r="L294" i="8" s="1"/>
  <c r="F294" i="8"/>
  <c r="J293" i="8"/>
  <c r="L293" i="8" s="1"/>
  <c r="F293" i="8"/>
  <c r="J292" i="8"/>
  <c r="L292" i="8" s="1"/>
  <c r="F292" i="8"/>
  <c r="J291" i="8"/>
  <c r="L291" i="8" s="1"/>
  <c r="F291" i="8"/>
  <c r="J290" i="8"/>
  <c r="L290" i="8" s="1"/>
  <c r="F290" i="8"/>
  <c r="J289" i="8"/>
  <c r="L289" i="8" s="1"/>
  <c r="F289" i="8"/>
  <c r="J288" i="8"/>
  <c r="L288" i="8" s="1"/>
  <c r="F288" i="8"/>
  <c r="J287" i="8"/>
  <c r="L287" i="8" s="1"/>
  <c r="F287" i="8"/>
  <c r="J286" i="8"/>
  <c r="L286" i="8" s="1"/>
  <c r="F286" i="8"/>
  <c r="J285" i="8"/>
  <c r="L285" i="8" s="1"/>
  <c r="F285" i="8"/>
  <c r="L284" i="8"/>
  <c r="J284" i="8"/>
  <c r="F284" i="8"/>
  <c r="J283" i="8"/>
  <c r="L283" i="8" s="1"/>
  <c r="F283" i="8"/>
  <c r="J282" i="8"/>
  <c r="L282" i="8" s="1"/>
  <c r="F282" i="8"/>
  <c r="J281" i="8"/>
  <c r="L281" i="8" s="1"/>
  <c r="F281" i="8"/>
  <c r="J280" i="8"/>
  <c r="L280" i="8" s="1"/>
  <c r="F280" i="8"/>
  <c r="L279" i="8"/>
  <c r="J279" i="8"/>
  <c r="F279" i="8"/>
  <c r="J278" i="8"/>
  <c r="L278" i="8" s="1"/>
  <c r="F278" i="8"/>
  <c r="J277" i="8"/>
  <c r="L277" i="8" s="1"/>
  <c r="F277" i="8"/>
  <c r="L276" i="8"/>
  <c r="J276" i="8"/>
  <c r="F276" i="8"/>
  <c r="L275" i="8"/>
  <c r="J275" i="8"/>
  <c r="F275" i="8"/>
  <c r="J274" i="8"/>
  <c r="L274" i="8" s="1"/>
  <c r="F274" i="8"/>
  <c r="J273" i="8"/>
  <c r="L273" i="8" s="1"/>
  <c r="F273" i="8"/>
  <c r="J272" i="8"/>
  <c r="L272" i="8" s="1"/>
  <c r="F272" i="8"/>
  <c r="L271" i="8"/>
  <c r="J271" i="8"/>
  <c r="F271" i="8"/>
  <c r="J270" i="8"/>
  <c r="L270" i="8" s="1"/>
  <c r="F270" i="8"/>
  <c r="J269" i="8"/>
  <c r="L269" i="8" s="1"/>
  <c r="F269" i="8"/>
  <c r="L268" i="8"/>
  <c r="J268" i="8"/>
  <c r="F268" i="8"/>
  <c r="J267" i="8"/>
  <c r="L267" i="8" s="1"/>
  <c r="F267" i="8"/>
  <c r="J266" i="8"/>
  <c r="L266" i="8" s="1"/>
  <c r="F266" i="8"/>
  <c r="J265" i="8"/>
  <c r="L265" i="8" s="1"/>
  <c r="F265" i="8"/>
  <c r="J264" i="8"/>
  <c r="L264" i="8" s="1"/>
  <c r="F264" i="8"/>
  <c r="L263" i="8"/>
  <c r="J263" i="8"/>
  <c r="F263" i="8"/>
  <c r="J262" i="8"/>
  <c r="L262" i="8" s="1"/>
  <c r="F262" i="8"/>
  <c r="J261" i="8"/>
  <c r="F261" i="8"/>
  <c r="J260" i="8"/>
  <c r="F260" i="8"/>
  <c r="J259" i="8"/>
  <c r="F259" i="8"/>
  <c r="J258" i="8"/>
  <c r="L258" i="8" s="1"/>
  <c r="F258" i="8"/>
  <c r="J257" i="8"/>
  <c r="F257" i="8"/>
  <c r="J256" i="8"/>
  <c r="F256" i="8"/>
  <c r="J255" i="8"/>
  <c r="F255" i="8"/>
  <c r="J254" i="8"/>
  <c r="L254" i="8" s="1"/>
  <c r="F254" i="8"/>
  <c r="J253" i="8"/>
  <c r="F253" i="8"/>
  <c r="J252" i="8"/>
  <c r="F252" i="8"/>
  <c r="J251" i="8"/>
  <c r="F251" i="8"/>
  <c r="J250" i="8"/>
  <c r="L250" i="8" s="1"/>
  <c r="F250" i="8"/>
  <c r="J249" i="8"/>
  <c r="F249" i="8"/>
  <c r="J248" i="8"/>
  <c r="F248" i="8"/>
  <c r="J247" i="8"/>
  <c r="F247" i="8"/>
  <c r="J246" i="8"/>
  <c r="L246" i="8" s="1"/>
  <c r="F246" i="8"/>
  <c r="J245" i="8"/>
  <c r="F245" i="8"/>
  <c r="J244" i="8"/>
  <c r="F244" i="8"/>
  <c r="J243" i="8"/>
  <c r="F243" i="8"/>
  <c r="J242" i="8"/>
  <c r="L242" i="8" s="1"/>
  <c r="F242" i="8"/>
  <c r="J241" i="8"/>
  <c r="F241" i="8"/>
  <c r="J240" i="8"/>
  <c r="F240" i="8"/>
  <c r="J239" i="8"/>
  <c r="F239" i="8"/>
  <c r="J238" i="8"/>
  <c r="L238" i="8" s="1"/>
  <c r="F238" i="8"/>
  <c r="J237" i="8"/>
  <c r="F237" i="8"/>
  <c r="J236" i="8"/>
  <c r="F236" i="8"/>
  <c r="J235" i="8"/>
  <c r="F235" i="8"/>
  <c r="J234" i="8"/>
  <c r="L234" i="8" s="1"/>
  <c r="F234" i="8"/>
  <c r="J233" i="8"/>
  <c r="F233" i="8"/>
  <c r="J232" i="8"/>
  <c r="F232" i="8"/>
  <c r="J231" i="8"/>
  <c r="F231" i="8"/>
  <c r="J230" i="8"/>
  <c r="L230" i="8" s="1"/>
  <c r="F230" i="8"/>
  <c r="J229" i="8"/>
  <c r="F229" i="8"/>
  <c r="J228" i="8"/>
  <c r="F228" i="8"/>
  <c r="J227" i="8"/>
  <c r="F227" i="8"/>
  <c r="J226" i="8"/>
  <c r="L226" i="8" s="1"/>
  <c r="F226" i="8"/>
  <c r="J225" i="8"/>
  <c r="F225" i="8"/>
  <c r="J224" i="8"/>
  <c r="F224" i="8"/>
  <c r="J223" i="8"/>
  <c r="F223" i="8"/>
  <c r="J222" i="8"/>
  <c r="L222" i="8" s="1"/>
  <c r="F222" i="8"/>
  <c r="J221" i="8"/>
  <c r="F221" i="8"/>
  <c r="J220" i="8"/>
  <c r="F220" i="8"/>
  <c r="J219" i="8"/>
  <c r="F219" i="8"/>
  <c r="J218" i="8"/>
  <c r="F218" i="8"/>
  <c r="J217" i="8"/>
  <c r="F217" i="8"/>
  <c r="J216" i="8"/>
  <c r="F216" i="8"/>
  <c r="J215" i="8"/>
  <c r="F215" i="8"/>
  <c r="J213" i="8"/>
  <c r="F213" i="8"/>
  <c r="J212" i="8"/>
  <c r="F212" i="8"/>
  <c r="J210" i="8"/>
  <c r="F210" i="8"/>
  <c r="J209" i="8"/>
  <c r="F209" i="8"/>
  <c r="J208" i="8"/>
  <c r="F208" i="8"/>
  <c r="J207" i="8"/>
  <c r="F207" i="8"/>
  <c r="J206" i="8"/>
  <c r="F206" i="8"/>
  <c r="J205" i="8"/>
  <c r="F205" i="8"/>
  <c r="J204" i="8"/>
  <c r="F204" i="8"/>
  <c r="J203" i="8"/>
  <c r="F203" i="8"/>
  <c r="J202" i="8"/>
  <c r="F202" i="8"/>
  <c r="J201" i="8"/>
  <c r="F201" i="8"/>
  <c r="J200" i="8"/>
  <c r="F200" i="8"/>
  <c r="J199" i="8"/>
  <c r="F199" i="8"/>
  <c r="J198" i="8"/>
  <c r="F198" i="8"/>
  <c r="J196" i="8"/>
  <c r="F196" i="8"/>
  <c r="J194" i="8"/>
  <c r="F194" i="8"/>
  <c r="J193" i="8"/>
  <c r="F193" i="8"/>
  <c r="J192" i="8"/>
  <c r="F192" i="8"/>
  <c r="J191" i="8"/>
  <c r="F191" i="8"/>
  <c r="J188" i="8"/>
  <c r="F188" i="8"/>
  <c r="J187" i="8"/>
  <c r="F187" i="8"/>
  <c r="J186" i="8"/>
  <c r="F186" i="8"/>
  <c r="J185" i="8"/>
  <c r="F185" i="8"/>
  <c r="J184" i="8"/>
  <c r="F184" i="8"/>
  <c r="J183" i="8"/>
  <c r="F183" i="8"/>
  <c r="J182" i="8"/>
  <c r="F182" i="8"/>
  <c r="J179" i="8"/>
  <c r="F179" i="8"/>
  <c r="J178" i="8"/>
  <c r="F178" i="8"/>
  <c r="J177" i="8"/>
  <c r="F177" i="8"/>
  <c r="J176" i="8"/>
  <c r="F176" i="8"/>
  <c r="J173" i="8"/>
  <c r="F173" i="8"/>
  <c r="J172" i="8"/>
  <c r="F172" i="8"/>
  <c r="J171" i="8"/>
  <c r="F171" i="8"/>
  <c r="J170" i="8"/>
  <c r="F170" i="8"/>
  <c r="J168" i="8"/>
  <c r="F168" i="8"/>
  <c r="J167" i="8"/>
  <c r="F167" i="8"/>
  <c r="J162" i="8"/>
  <c r="F162" i="8"/>
  <c r="J159" i="8"/>
  <c r="F159" i="8"/>
  <c r="J155" i="8"/>
  <c r="F155" i="8"/>
  <c r="J153" i="8"/>
  <c r="F153" i="8"/>
  <c r="J152" i="8"/>
  <c r="F152" i="8"/>
  <c r="J151" i="8"/>
  <c r="F151" i="8"/>
  <c r="J147" i="8"/>
  <c r="F147" i="8"/>
  <c r="J146" i="8"/>
  <c r="F146" i="8"/>
  <c r="J144" i="8"/>
  <c r="F144" i="8"/>
  <c r="J142" i="8"/>
  <c r="F142" i="8"/>
  <c r="J141" i="8"/>
  <c r="F141" i="8"/>
  <c r="J140" i="8"/>
  <c r="F140" i="8"/>
  <c r="J138" i="8"/>
  <c r="F138" i="8"/>
  <c r="J137" i="8"/>
  <c r="F137" i="8"/>
  <c r="J135" i="8"/>
  <c r="F135" i="8"/>
  <c r="J132" i="8"/>
  <c r="F132" i="8"/>
  <c r="J131" i="8"/>
  <c r="F131" i="8"/>
  <c r="J127" i="8"/>
  <c r="F127" i="8"/>
  <c r="J119" i="8"/>
  <c r="F119" i="8"/>
  <c r="J118" i="8"/>
  <c r="F118" i="8"/>
  <c r="J109" i="8"/>
  <c r="F109" i="8"/>
  <c r="J88" i="8"/>
  <c r="J65" i="8"/>
  <c r="F65" i="8"/>
  <c r="J63" i="8"/>
  <c r="L63" i="8" s="1"/>
  <c r="F63" i="8"/>
  <c r="J61" i="8"/>
  <c r="F61" i="8"/>
  <c r="J46" i="8"/>
  <c r="F46" i="8"/>
  <c r="J45" i="8"/>
  <c r="F45" i="8"/>
  <c r="J44" i="8"/>
  <c r="F44" i="8"/>
  <c r="J33" i="8"/>
  <c r="F33" i="8"/>
  <c r="J31" i="8"/>
  <c r="F214" i="8"/>
  <c r="F211" i="8"/>
  <c r="F197" i="8"/>
  <c r="F195" i="8"/>
  <c r="F190" i="8"/>
  <c r="F189" i="8"/>
  <c r="F181" i="8"/>
  <c r="F175" i="8"/>
  <c r="F174" i="8"/>
  <c r="F169" i="8"/>
  <c r="F166" i="8"/>
  <c r="F165" i="8"/>
  <c r="F164" i="8"/>
  <c r="F161" i="8"/>
  <c r="F158" i="8"/>
  <c r="F157" i="8"/>
  <c r="F156" i="8"/>
  <c r="F154" i="8"/>
  <c r="F150" i="8"/>
  <c r="F149" i="8"/>
  <c r="F148" i="8"/>
  <c r="F145" i="8"/>
  <c r="F143" i="8"/>
  <c r="F139" i="8"/>
  <c r="F136" i="8"/>
  <c r="F134" i="8"/>
  <c r="F133" i="8"/>
  <c r="F130" i="8"/>
  <c r="F128" i="8"/>
  <c r="F126" i="8"/>
  <c r="F125" i="8"/>
  <c r="F124" i="8"/>
  <c r="F123" i="8"/>
  <c r="F122" i="8"/>
  <c r="F120" i="8"/>
  <c r="F117" i="8"/>
  <c r="F116" i="8"/>
  <c r="F115" i="8"/>
  <c r="F112" i="8"/>
  <c r="F111" i="8"/>
  <c r="F110" i="8"/>
  <c r="F108" i="8"/>
  <c r="F106" i="8"/>
  <c r="F77" i="8"/>
  <c r="F76" i="8"/>
  <c r="F75" i="8"/>
  <c r="F74" i="8"/>
  <c r="F72" i="8"/>
  <c r="F69" i="8"/>
  <c r="F68" i="8"/>
  <c r="F67" i="8"/>
  <c r="F66" i="8"/>
  <c r="F64" i="8"/>
  <c r="F62" i="8"/>
  <c r="F60" i="8"/>
  <c r="F59" i="8"/>
  <c r="F58" i="8"/>
  <c r="F57" i="8"/>
  <c r="F56" i="8"/>
  <c r="F52" i="8"/>
  <c r="F51" i="8"/>
  <c r="F48" i="8"/>
  <c r="F47" i="8"/>
  <c r="F43" i="8"/>
  <c r="F42" i="8"/>
  <c r="F41" i="8"/>
  <c r="F40" i="8"/>
  <c r="F39" i="8"/>
  <c r="F38" i="8"/>
  <c r="F35" i="8"/>
  <c r="F32" i="8"/>
  <c r="F29" i="8"/>
  <c r="F28" i="8"/>
  <c r="F26" i="8"/>
  <c r="F25" i="8"/>
  <c r="F23" i="8"/>
  <c r="L308" i="8" l="1"/>
  <c r="L314" i="8"/>
  <c r="L318" i="8"/>
  <c r="L99" i="8"/>
  <c r="L326" i="8"/>
  <c r="L224" i="8"/>
  <c r="L228" i="8"/>
  <c r="L232" i="8"/>
  <c r="L236" i="8"/>
  <c r="L240" i="8"/>
  <c r="L244" i="8"/>
  <c r="L248" i="8"/>
  <c r="L252" i="8"/>
  <c r="L256" i="8"/>
  <c r="L260" i="8"/>
  <c r="L223" i="8"/>
  <c r="L227" i="8"/>
  <c r="L231" i="8"/>
  <c r="L235" i="8"/>
  <c r="L239" i="8"/>
  <c r="L243" i="8"/>
  <c r="L247" i="8"/>
  <c r="L251" i="8"/>
  <c r="L255" i="8"/>
  <c r="L259" i="8"/>
  <c r="L101" i="8"/>
  <c r="L119" i="8"/>
  <c r="L135" i="8"/>
  <c r="L141" i="8"/>
  <c r="L147" i="8"/>
  <c r="L168" i="8"/>
  <c r="L173" i="8"/>
  <c r="L191" i="8"/>
  <c r="L196" i="8"/>
  <c r="L305" i="8"/>
  <c r="L309" i="8"/>
  <c r="L312" i="8"/>
  <c r="L316" i="8"/>
  <c r="L320" i="8"/>
  <c r="L324" i="8"/>
  <c r="L328" i="8"/>
  <c r="L332" i="8"/>
  <c r="L336" i="8"/>
  <c r="L340" i="8"/>
  <c r="L96" i="8"/>
  <c r="L221" i="8"/>
  <c r="L225" i="8"/>
  <c r="L229" i="8"/>
  <c r="L233" i="8"/>
  <c r="L237" i="8"/>
  <c r="L241" i="8"/>
  <c r="L245" i="8"/>
  <c r="L249" i="8"/>
  <c r="L253" i="8"/>
  <c r="L257" i="8"/>
  <c r="L261" i="8"/>
  <c r="L306" i="8"/>
  <c r="L310" i="8"/>
  <c r="L216" i="8"/>
  <c r="L146" i="8"/>
  <c r="L131" i="8"/>
  <c r="L138" i="8"/>
  <c r="L144" i="8"/>
  <c r="L152" i="8"/>
  <c r="L171" i="8"/>
  <c r="L193" i="8"/>
  <c r="L212" i="8"/>
  <c r="L311" i="8"/>
  <c r="L315" i="8"/>
  <c r="L319" i="8"/>
  <c r="L323" i="8"/>
  <c r="L327" i="8"/>
  <c r="L331" i="8"/>
  <c r="L335" i="8"/>
  <c r="L339" i="8"/>
  <c r="L330" i="8"/>
  <c r="L334" i="8"/>
  <c r="L338" i="8"/>
  <c r="L220" i="8"/>
  <c r="L102" i="8"/>
  <c r="L343" i="8"/>
  <c r="L342" i="8"/>
  <c r="L184" i="8"/>
  <c r="L188" i="8"/>
  <c r="L200" i="8"/>
  <c r="L204" i="8"/>
  <c r="L208" i="8"/>
  <c r="L140" i="8"/>
  <c r="L151" i="8"/>
  <c r="L159" i="8"/>
  <c r="L162" i="8"/>
  <c r="L170" i="8"/>
  <c r="L177" i="8"/>
  <c r="L183" i="8"/>
  <c r="L187" i="8"/>
  <c r="L192" i="8"/>
  <c r="L127" i="8"/>
  <c r="L137" i="8"/>
  <c r="L153" i="8"/>
  <c r="L167" i="8"/>
  <c r="L172" i="8"/>
  <c r="L194" i="8"/>
  <c r="L213" i="8"/>
  <c r="L155" i="8"/>
  <c r="L176" i="8"/>
  <c r="L182" i="8"/>
  <c r="L186" i="8"/>
  <c r="L199" i="8"/>
  <c r="L203" i="8"/>
  <c r="L207" i="8"/>
  <c r="L215" i="8"/>
  <c r="L219" i="8"/>
  <c r="L179" i="8"/>
  <c r="L185" i="8"/>
  <c r="L198" i="8"/>
  <c r="L202" i="8"/>
  <c r="L206" i="8"/>
  <c r="L210" i="8"/>
  <c r="L218" i="8"/>
  <c r="L61" i="8"/>
  <c r="L118" i="8"/>
  <c r="L142" i="8"/>
  <c r="L178" i="8"/>
  <c r="L201" i="8"/>
  <c r="L205" i="8"/>
  <c r="L209" i="8"/>
  <c r="L217" i="8"/>
  <c r="L65" i="8"/>
  <c r="L88" i="8"/>
  <c r="L132" i="8"/>
  <c r="L31" i="8"/>
  <c r="L109" i="8"/>
  <c r="L33" i="8"/>
  <c r="L46" i="8"/>
  <c r="L45" i="8"/>
  <c r="L44" i="8"/>
  <c r="R117" i="2"/>
  <c r="O117" i="2"/>
  <c r="I117" i="2"/>
  <c r="F117" i="2"/>
  <c r="I133" i="2"/>
  <c r="R15" i="2"/>
  <c r="I141" i="2" l="1"/>
  <c r="I111" i="2" l="1"/>
  <c r="F111" i="2"/>
  <c r="I48" i="2"/>
  <c r="F48" i="2"/>
  <c r="I82" i="2"/>
  <c r="F82" i="2"/>
  <c r="O77" i="2"/>
  <c r="I77" i="2"/>
  <c r="F77" i="2"/>
  <c r="I56" i="2"/>
  <c r="F56" i="2"/>
  <c r="J111" i="2" l="1"/>
  <c r="L111" i="2" s="1"/>
  <c r="P111" i="2" s="1"/>
  <c r="R111" i="2" s="1"/>
  <c r="J82" i="2"/>
  <c r="L82" i="2" s="1"/>
  <c r="P82" i="2" s="1"/>
  <c r="R82" i="2" s="1"/>
  <c r="J48" i="2"/>
  <c r="L48" i="2" s="1"/>
  <c r="P48" i="2" s="1"/>
  <c r="R48" i="2" s="1"/>
  <c r="J77" i="2"/>
  <c r="L77" i="2" s="1"/>
  <c r="P77" i="2" s="1"/>
  <c r="R77" i="2" s="1"/>
  <c r="J56" i="2"/>
  <c r="L56" i="2" s="1"/>
  <c r="P56" i="2" s="1"/>
  <c r="R56" i="2" s="1"/>
  <c r="G101" i="11"/>
  <c r="K101" i="11"/>
  <c r="L101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30" i="11"/>
  <c r="J43" i="11"/>
  <c r="J44" i="11"/>
  <c r="J45" i="11"/>
  <c r="J46" i="11"/>
  <c r="J47" i="11"/>
  <c r="J48" i="11"/>
  <c r="J49" i="11"/>
  <c r="J50" i="11"/>
  <c r="J51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30" i="11"/>
  <c r="H43" i="11"/>
  <c r="H44" i="11"/>
  <c r="H45" i="11"/>
  <c r="H46" i="11"/>
  <c r="H47" i="11"/>
  <c r="H48" i="11"/>
  <c r="H49" i="11"/>
  <c r="H50" i="11"/>
  <c r="H51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" i="11"/>
  <c r="H101" i="11" l="1"/>
  <c r="J101" i="11"/>
  <c r="E101" i="11"/>
  <c r="D101" i="11"/>
  <c r="F101" i="11" l="1"/>
  <c r="R119" i="2"/>
  <c r="O119" i="2"/>
  <c r="I119" i="2"/>
  <c r="F119" i="2"/>
  <c r="E127" i="10"/>
  <c r="G127" i="10"/>
  <c r="H127" i="10"/>
  <c r="K127" i="10"/>
  <c r="M127" i="10"/>
  <c r="N127" i="10"/>
  <c r="D127" i="10"/>
  <c r="Q127" i="10" l="1"/>
  <c r="J119" i="2"/>
  <c r="L119" i="2" s="1"/>
  <c r="I127" i="10"/>
  <c r="O127" i="10"/>
  <c r="F127" i="10"/>
  <c r="J127" i="10" l="1"/>
  <c r="K347" i="8"/>
  <c r="I347" i="8"/>
  <c r="G347" i="8"/>
  <c r="E347" i="8"/>
  <c r="D347" i="8"/>
  <c r="J214" i="8"/>
  <c r="J211" i="8"/>
  <c r="J197" i="8"/>
  <c r="J195" i="8"/>
  <c r="J190" i="8"/>
  <c r="J189" i="8"/>
  <c r="J181" i="8"/>
  <c r="J180" i="8"/>
  <c r="J175" i="8"/>
  <c r="J174" i="8"/>
  <c r="J169" i="8"/>
  <c r="J166" i="8"/>
  <c r="J165" i="8"/>
  <c r="J164" i="8"/>
  <c r="J163" i="8"/>
  <c r="J161" i="8"/>
  <c r="J160" i="8"/>
  <c r="J158" i="8"/>
  <c r="J157" i="8"/>
  <c r="J156" i="8"/>
  <c r="J154" i="8"/>
  <c r="J150" i="8"/>
  <c r="J149" i="8"/>
  <c r="J148" i="8"/>
  <c r="J145" i="8"/>
  <c r="J143" i="8"/>
  <c r="J139" i="8"/>
  <c r="J136" i="8"/>
  <c r="J134" i="8"/>
  <c r="J133" i="8"/>
  <c r="J130" i="8"/>
  <c r="J128" i="8"/>
  <c r="J126" i="8"/>
  <c r="J125" i="8"/>
  <c r="J124" i="8"/>
  <c r="J123" i="8"/>
  <c r="J122" i="8"/>
  <c r="J121" i="8"/>
  <c r="J120" i="8"/>
  <c r="J117" i="8"/>
  <c r="J116" i="8"/>
  <c r="J115" i="8"/>
  <c r="J114" i="8"/>
  <c r="J113" i="8"/>
  <c r="J112" i="8"/>
  <c r="J111" i="8"/>
  <c r="J110" i="8"/>
  <c r="J108" i="8"/>
  <c r="J107" i="8"/>
  <c r="J106" i="8"/>
  <c r="K104" i="8"/>
  <c r="I104" i="8"/>
  <c r="E104" i="8"/>
  <c r="D104" i="8"/>
  <c r="J103" i="8"/>
  <c r="J98" i="8"/>
  <c r="J97" i="8"/>
  <c r="J95" i="8"/>
  <c r="J94" i="8"/>
  <c r="J93" i="8"/>
  <c r="J92" i="8"/>
  <c r="J91" i="8"/>
  <c r="J90" i="8"/>
  <c r="J89" i="8"/>
  <c r="J86" i="8"/>
  <c r="J85" i="8"/>
  <c r="J84" i="8"/>
  <c r="J83" i="8"/>
  <c r="J82" i="8"/>
  <c r="J81" i="8"/>
  <c r="J80" i="8"/>
  <c r="K78" i="8"/>
  <c r="I78" i="8"/>
  <c r="E78" i="8"/>
  <c r="D78" i="8"/>
  <c r="J77" i="8"/>
  <c r="J76" i="8"/>
  <c r="J75" i="8"/>
  <c r="J74" i="8"/>
  <c r="J73" i="8"/>
  <c r="J72" i="8"/>
  <c r="K70" i="8"/>
  <c r="E70" i="8"/>
  <c r="D70" i="8"/>
  <c r="J69" i="8"/>
  <c r="J68" i="8"/>
  <c r="J67" i="8"/>
  <c r="J66" i="8"/>
  <c r="J64" i="8"/>
  <c r="J62" i="8"/>
  <c r="J60" i="8"/>
  <c r="J59" i="8"/>
  <c r="J58" i="8"/>
  <c r="J57" i="8"/>
  <c r="J56" i="8"/>
  <c r="J55" i="8"/>
  <c r="J54" i="8"/>
  <c r="J53" i="8"/>
  <c r="J52" i="8"/>
  <c r="J51" i="8"/>
  <c r="K49" i="8"/>
  <c r="I49" i="8"/>
  <c r="E49" i="8"/>
  <c r="D49" i="8"/>
  <c r="J48" i="8"/>
  <c r="J47" i="8"/>
  <c r="J43" i="8"/>
  <c r="J42" i="8"/>
  <c r="J41" i="8"/>
  <c r="J40" i="8"/>
  <c r="J39" i="8"/>
  <c r="J38" i="8"/>
  <c r="J37" i="8"/>
  <c r="J36" i="8"/>
  <c r="J35" i="8"/>
  <c r="J34" i="8"/>
  <c r="J32" i="8"/>
  <c r="J30" i="8"/>
  <c r="J29" i="8"/>
  <c r="J28" i="8"/>
  <c r="J27" i="8"/>
  <c r="J26" i="8"/>
  <c r="J25" i="8"/>
  <c r="J24" i="8"/>
  <c r="J23" i="8"/>
  <c r="K21" i="8"/>
  <c r="J21" i="8"/>
  <c r="I21" i="8"/>
  <c r="H21" i="8"/>
  <c r="E21" i="8"/>
  <c r="D21" i="8"/>
  <c r="L20" i="8"/>
  <c r="L21" i="8" s="1"/>
  <c r="F20" i="8"/>
  <c r="F21" i="8" s="1"/>
  <c r="K18" i="8"/>
  <c r="I18" i="8"/>
  <c r="E18" i="8"/>
  <c r="D18" i="8"/>
  <c r="J17" i="8"/>
  <c r="F17" i="8"/>
  <c r="J16" i="8"/>
  <c r="F16" i="8"/>
  <c r="J14" i="8"/>
  <c r="J13" i="8"/>
  <c r="F13" i="8"/>
  <c r="L12" i="8"/>
  <c r="J12" i="8"/>
  <c r="F12" i="8"/>
  <c r="L124" i="8" l="1"/>
  <c r="L130" i="8"/>
  <c r="L139" i="8"/>
  <c r="L149" i="8"/>
  <c r="L145" i="8"/>
  <c r="L166" i="8"/>
  <c r="L134" i="8"/>
  <c r="L154" i="8"/>
  <c r="L197" i="8"/>
  <c r="L214" i="8"/>
  <c r="L126" i="8"/>
  <c r="L26" i="8"/>
  <c r="L30" i="8"/>
  <c r="L56" i="8"/>
  <c r="L58" i="8"/>
  <c r="L60" i="8"/>
  <c r="L64" i="8"/>
  <c r="L67" i="8"/>
  <c r="L69" i="8"/>
  <c r="L55" i="8"/>
  <c r="L59" i="8"/>
  <c r="L66" i="8"/>
  <c r="L73" i="8"/>
  <c r="L77" i="8"/>
  <c r="L86" i="8"/>
  <c r="L92" i="8"/>
  <c r="L128" i="8"/>
  <c r="L136" i="8"/>
  <c r="L148" i="8"/>
  <c r="L57" i="8"/>
  <c r="L62" i="8"/>
  <c r="L68" i="8"/>
  <c r="L75" i="8"/>
  <c r="L125" i="8"/>
  <c r="L133" i="8"/>
  <c r="L143" i="8"/>
  <c r="L25" i="8"/>
  <c r="L52" i="8"/>
  <c r="J78" i="8"/>
  <c r="L97" i="8"/>
  <c r="L108" i="8"/>
  <c r="L112" i="8"/>
  <c r="L114" i="8"/>
  <c r="L174" i="8"/>
  <c r="L163" i="8"/>
  <c r="L181" i="8"/>
  <c r="L35" i="8"/>
  <c r="L106" i="8"/>
  <c r="L34" i="8"/>
  <c r="L36" i="8"/>
  <c r="J70" i="8"/>
  <c r="L76" i="8"/>
  <c r="L85" i="8"/>
  <c r="L91" i="8"/>
  <c r="L95" i="8"/>
  <c r="L98" i="8"/>
  <c r="F347" i="8"/>
  <c r="L107" i="8"/>
  <c r="L111" i="8"/>
  <c r="L165" i="8"/>
  <c r="L169" i="8"/>
  <c r="L190" i="8"/>
  <c r="L211" i="8"/>
  <c r="L17" i="8"/>
  <c r="L27" i="8"/>
  <c r="L32" i="8"/>
  <c r="L89" i="8"/>
  <c r="L93" i="8"/>
  <c r="L113" i="8"/>
  <c r="L115" i="8"/>
  <c r="L120" i="8"/>
  <c r="L150" i="8"/>
  <c r="L158" i="8"/>
  <c r="L175" i="8"/>
  <c r="L180" i="8"/>
  <c r="L189" i="8"/>
  <c r="F78" i="8"/>
  <c r="F18" i="8"/>
  <c r="L51" i="8"/>
  <c r="L54" i="8"/>
  <c r="L74" i="8"/>
  <c r="L81" i="8"/>
  <c r="L84" i="8"/>
  <c r="L90" i="8"/>
  <c r="L94" i="8"/>
  <c r="H347" i="8"/>
  <c r="L110" i="8"/>
  <c r="L117" i="8"/>
  <c r="L122" i="8"/>
  <c r="L157" i="8"/>
  <c r="L161" i="8"/>
  <c r="L164" i="8"/>
  <c r="L195" i="8"/>
  <c r="L83" i="8"/>
  <c r="L103" i="8"/>
  <c r="J347" i="8"/>
  <c r="L116" i="8"/>
  <c r="L121" i="8"/>
  <c r="L156" i="8"/>
  <c r="L160" i="8"/>
  <c r="I348" i="8"/>
  <c r="L82" i="8"/>
  <c r="L123" i="8"/>
  <c r="J49" i="8"/>
  <c r="L41" i="8"/>
  <c r="L37" i="8"/>
  <c r="L40" i="8"/>
  <c r="L47" i="8"/>
  <c r="L16" i="8"/>
  <c r="L29" i="8"/>
  <c r="H49" i="8"/>
  <c r="L28" i="8"/>
  <c r="L39" i="8"/>
  <c r="L43" i="8"/>
  <c r="L38" i="8"/>
  <c r="L42" i="8"/>
  <c r="L48" i="8"/>
  <c r="J18" i="8"/>
  <c r="H18" i="8"/>
  <c r="L13" i="8"/>
  <c r="L127" i="10"/>
  <c r="F70" i="8"/>
  <c r="F49" i="8"/>
  <c r="H70" i="8"/>
  <c r="J104" i="8"/>
  <c r="E348" i="8"/>
  <c r="H104" i="8"/>
  <c r="L14" i="8"/>
  <c r="L23" i="8"/>
  <c r="L24" i="8"/>
  <c r="L53" i="8"/>
  <c r="H78" i="8"/>
  <c r="L72" i="8"/>
  <c r="F104" i="8"/>
  <c r="G348" i="8"/>
  <c r="K348" i="8"/>
  <c r="D348" i="8"/>
  <c r="L80" i="8"/>
  <c r="L104" i="8" l="1"/>
  <c r="M104" i="8" s="1"/>
  <c r="L78" i="8"/>
  <c r="N78" i="8" s="1"/>
  <c r="L70" i="8"/>
  <c r="N70" i="8" s="1"/>
  <c r="L347" i="8"/>
  <c r="J348" i="8"/>
  <c r="H348" i="8"/>
  <c r="F348" i="8"/>
  <c r="L18" i="8"/>
  <c r="M21" i="8" s="1"/>
  <c r="P127" i="10"/>
  <c r="L49" i="8"/>
  <c r="M18" i="8" l="1"/>
  <c r="R127" i="10"/>
  <c r="N49" i="8"/>
  <c r="M49" i="8"/>
  <c r="L348" i="8"/>
  <c r="I57" i="2" l="1"/>
  <c r="F57" i="2"/>
  <c r="R33" i="2"/>
  <c r="J57" i="2" l="1"/>
  <c r="L57" i="2" s="1"/>
  <c r="R57" i="2" s="1"/>
  <c r="I120" i="2"/>
  <c r="E20" i="2" l="1"/>
  <c r="G20" i="2"/>
  <c r="H20" i="2"/>
  <c r="J20" i="2"/>
  <c r="K20" i="2"/>
  <c r="M20" i="2"/>
  <c r="N20" i="2"/>
  <c r="O20" i="2"/>
  <c r="Q20" i="2"/>
  <c r="D20" i="2"/>
  <c r="L19" i="2"/>
  <c r="L20" i="2" s="1"/>
  <c r="I19" i="2"/>
  <c r="I20" i="2" s="1"/>
  <c r="F19" i="2"/>
  <c r="F20" i="2" s="1"/>
  <c r="O126" i="2"/>
  <c r="I126" i="2"/>
  <c r="F126" i="2"/>
  <c r="O131" i="2"/>
  <c r="I131" i="2"/>
  <c r="F131" i="2"/>
  <c r="L16" i="2"/>
  <c r="I16" i="2"/>
  <c r="F16" i="2"/>
  <c r="O141" i="2"/>
  <c r="F141" i="2"/>
  <c r="O140" i="2"/>
  <c r="I140" i="2"/>
  <c r="F140" i="2"/>
  <c r="O139" i="2"/>
  <c r="I139" i="2"/>
  <c r="F139" i="2"/>
  <c r="O138" i="2"/>
  <c r="I138" i="2"/>
  <c r="F138" i="2"/>
  <c r="O137" i="2"/>
  <c r="I137" i="2"/>
  <c r="F137" i="2"/>
  <c r="O136" i="2"/>
  <c r="I136" i="2"/>
  <c r="F136" i="2"/>
  <c r="O129" i="2"/>
  <c r="I129" i="2"/>
  <c r="F129" i="2"/>
  <c r="O125" i="2"/>
  <c r="I125" i="2"/>
  <c r="F125" i="2"/>
  <c r="O123" i="2"/>
  <c r="I123" i="2"/>
  <c r="F123" i="2"/>
  <c r="O135" i="2"/>
  <c r="I135" i="2"/>
  <c r="F135" i="2"/>
  <c r="O116" i="2"/>
  <c r="I116" i="2"/>
  <c r="F116" i="2"/>
  <c r="O108" i="2"/>
  <c r="I108" i="2"/>
  <c r="F108" i="2"/>
  <c r="O107" i="2"/>
  <c r="I107" i="2"/>
  <c r="F107" i="2"/>
  <c r="O103" i="2"/>
  <c r="I103" i="2"/>
  <c r="F103" i="2"/>
  <c r="O102" i="2"/>
  <c r="I102" i="2"/>
  <c r="F102" i="2"/>
  <c r="O106" i="2"/>
  <c r="I106" i="2"/>
  <c r="F106" i="2"/>
  <c r="O134" i="2"/>
  <c r="I134" i="2"/>
  <c r="F134" i="2"/>
  <c r="O128" i="2"/>
  <c r="I128" i="2"/>
  <c r="F128" i="2"/>
  <c r="O127" i="2"/>
  <c r="I127" i="2"/>
  <c r="F127" i="2"/>
  <c r="O115" i="2"/>
  <c r="I115" i="2"/>
  <c r="F115" i="2"/>
  <c r="O114" i="2"/>
  <c r="I114" i="2"/>
  <c r="F114" i="2"/>
  <c r="O113" i="2"/>
  <c r="I113" i="2"/>
  <c r="F113" i="2"/>
  <c r="O112" i="2"/>
  <c r="I112" i="2"/>
  <c r="F112" i="2"/>
  <c r="O105" i="2"/>
  <c r="I105" i="2"/>
  <c r="F105" i="2"/>
  <c r="O110" i="2"/>
  <c r="I110" i="2"/>
  <c r="F110" i="2"/>
  <c r="O109" i="2"/>
  <c r="I109" i="2"/>
  <c r="F109" i="2"/>
  <c r="O104" i="2"/>
  <c r="I104" i="2"/>
  <c r="F104" i="2"/>
  <c r="O101" i="2"/>
  <c r="I101" i="2"/>
  <c r="F101" i="2"/>
  <c r="O99" i="2"/>
  <c r="I99" i="2"/>
  <c r="F99" i="2"/>
  <c r="O96" i="2"/>
  <c r="I96" i="2"/>
  <c r="F96" i="2"/>
  <c r="O95" i="2"/>
  <c r="I95" i="2"/>
  <c r="F95" i="2"/>
  <c r="O94" i="2"/>
  <c r="I94" i="2"/>
  <c r="F94" i="2"/>
  <c r="O97" i="2"/>
  <c r="I97" i="2"/>
  <c r="F97" i="2"/>
  <c r="O91" i="2"/>
  <c r="I91" i="2"/>
  <c r="F91" i="2"/>
  <c r="O90" i="2"/>
  <c r="I90" i="2"/>
  <c r="F90" i="2"/>
  <c r="O89" i="2"/>
  <c r="I89" i="2"/>
  <c r="F89" i="2"/>
  <c r="F132" i="2"/>
  <c r="I132" i="2"/>
  <c r="O132" i="2"/>
  <c r="F79" i="2"/>
  <c r="I79" i="2"/>
  <c r="O79" i="2"/>
  <c r="F118" i="2"/>
  <c r="I118" i="2"/>
  <c r="O118" i="2"/>
  <c r="F83" i="2"/>
  <c r="I83" i="2"/>
  <c r="O83" i="2"/>
  <c r="F80" i="2"/>
  <c r="I80" i="2"/>
  <c r="O80" i="2"/>
  <c r="L66" i="2"/>
  <c r="I66" i="2"/>
  <c r="F66" i="2"/>
  <c r="L65" i="2"/>
  <c r="I65" i="2"/>
  <c r="F65" i="2"/>
  <c r="I59" i="2"/>
  <c r="F59" i="2"/>
  <c r="I130" i="2"/>
  <c r="F130" i="2"/>
  <c r="J126" i="2" l="1"/>
  <c r="L126" i="2" s="1"/>
  <c r="P126" i="2" s="1"/>
  <c r="R126" i="2" s="1"/>
  <c r="P19" i="2"/>
  <c r="J131" i="2"/>
  <c r="L131" i="2" s="1"/>
  <c r="P131" i="2" s="1"/>
  <c r="R131" i="2" s="1"/>
  <c r="P16" i="2"/>
  <c r="R16" i="2" s="1"/>
  <c r="J110" i="2"/>
  <c r="L110" i="2" s="1"/>
  <c r="P110" i="2" s="1"/>
  <c r="R110" i="2" s="1"/>
  <c r="J103" i="2"/>
  <c r="L103" i="2" s="1"/>
  <c r="P103" i="2" s="1"/>
  <c r="R103" i="2" s="1"/>
  <c r="J101" i="2"/>
  <c r="L101" i="2" s="1"/>
  <c r="P101" i="2" s="1"/>
  <c r="R101" i="2" s="1"/>
  <c r="J135" i="2"/>
  <c r="L135" i="2" s="1"/>
  <c r="P135" i="2" s="1"/>
  <c r="R135" i="2" s="1"/>
  <c r="J123" i="2"/>
  <c r="L123" i="2" s="1"/>
  <c r="P123" i="2" s="1"/>
  <c r="R123" i="2" s="1"/>
  <c r="J139" i="2"/>
  <c r="L139" i="2" s="1"/>
  <c r="P139" i="2" s="1"/>
  <c r="R139" i="2" s="1"/>
  <c r="J106" i="2"/>
  <c r="L106" i="2" s="1"/>
  <c r="P106" i="2" s="1"/>
  <c r="R106" i="2" s="1"/>
  <c r="J107" i="2"/>
  <c r="L107" i="2" s="1"/>
  <c r="P107" i="2" s="1"/>
  <c r="R107" i="2" s="1"/>
  <c r="J125" i="2"/>
  <c r="L125" i="2" s="1"/>
  <c r="P125" i="2" s="1"/>
  <c r="R125" i="2" s="1"/>
  <c r="J102" i="2"/>
  <c r="L102" i="2" s="1"/>
  <c r="P102" i="2" s="1"/>
  <c r="R102" i="2" s="1"/>
  <c r="J99" i="2"/>
  <c r="L99" i="2" s="1"/>
  <c r="P99" i="2" s="1"/>
  <c r="R99" i="2" s="1"/>
  <c r="J105" i="2"/>
  <c r="L105" i="2" s="1"/>
  <c r="P105" i="2" s="1"/>
  <c r="R105" i="2" s="1"/>
  <c r="J127" i="2"/>
  <c r="L127" i="2" s="1"/>
  <c r="P127" i="2" s="1"/>
  <c r="R127" i="2" s="1"/>
  <c r="J134" i="2"/>
  <c r="L134" i="2" s="1"/>
  <c r="P134" i="2" s="1"/>
  <c r="R134" i="2" s="1"/>
  <c r="J116" i="2"/>
  <c r="L116" i="2" s="1"/>
  <c r="P116" i="2" s="1"/>
  <c r="R116" i="2" s="1"/>
  <c r="J129" i="2"/>
  <c r="L129" i="2" s="1"/>
  <c r="P129" i="2" s="1"/>
  <c r="R129" i="2" s="1"/>
  <c r="L136" i="2"/>
  <c r="P136" i="2" s="1"/>
  <c r="R136" i="2" s="1"/>
  <c r="L140" i="2"/>
  <c r="P140" i="2" s="1"/>
  <c r="R140" i="2" s="1"/>
  <c r="J91" i="2"/>
  <c r="L91" i="2" s="1"/>
  <c r="P91" i="2" s="1"/>
  <c r="R91" i="2" s="1"/>
  <c r="J95" i="2"/>
  <c r="L95" i="2" s="1"/>
  <c r="P95" i="2" s="1"/>
  <c r="R95" i="2" s="1"/>
  <c r="J108" i="2"/>
  <c r="L108" i="2" s="1"/>
  <c r="P108" i="2" s="1"/>
  <c r="R108" i="2" s="1"/>
  <c r="J137" i="2"/>
  <c r="L137" i="2" s="1"/>
  <c r="P137" i="2" s="1"/>
  <c r="R137" i="2" s="1"/>
  <c r="J138" i="2"/>
  <c r="L138" i="2" s="1"/>
  <c r="P138" i="2" s="1"/>
  <c r="R138" i="2" s="1"/>
  <c r="L141" i="2"/>
  <c r="R141" i="2" s="1"/>
  <c r="J94" i="2"/>
  <c r="L94" i="2" s="1"/>
  <c r="P94" i="2" s="1"/>
  <c r="R94" i="2" s="1"/>
  <c r="J109" i="2"/>
  <c r="L109" i="2" s="1"/>
  <c r="P109" i="2" s="1"/>
  <c r="R109" i="2" s="1"/>
  <c r="J90" i="2"/>
  <c r="L90" i="2" s="1"/>
  <c r="P90" i="2" s="1"/>
  <c r="R90" i="2" s="1"/>
  <c r="J115" i="2"/>
  <c r="L115" i="2" s="1"/>
  <c r="P115" i="2" s="1"/>
  <c r="R115" i="2" s="1"/>
  <c r="L128" i="2"/>
  <c r="P128" i="2" s="1"/>
  <c r="R128" i="2" s="1"/>
  <c r="J112" i="2"/>
  <c r="L112" i="2" s="1"/>
  <c r="P112" i="2" s="1"/>
  <c r="R112" i="2" s="1"/>
  <c r="J113" i="2"/>
  <c r="L113" i="2" s="1"/>
  <c r="P113" i="2" s="1"/>
  <c r="R113" i="2" s="1"/>
  <c r="J114" i="2"/>
  <c r="L114" i="2" s="1"/>
  <c r="P114" i="2" s="1"/>
  <c r="R114" i="2" s="1"/>
  <c r="J132" i="2"/>
  <c r="L132" i="2" s="1"/>
  <c r="P132" i="2" s="1"/>
  <c r="R132" i="2" s="1"/>
  <c r="J80" i="2"/>
  <c r="L80" i="2" s="1"/>
  <c r="P80" i="2" s="1"/>
  <c r="R80" i="2" s="1"/>
  <c r="J118" i="2"/>
  <c r="L118" i="2" s="1"/>
  <c r="R118" i="2" s="1"/>
  <c r="J89" i="2"/>
  <c r="L89" i="2" s="1"/>
  <c r="P89" i="2" s="1"/>
  <c r="R89" i="2" s="1"/>
  <c r="J97" i="2"/>
  <c r="L97" i="2" s="1"/>
  <c r="P97" i="2" s="1"/>
  <c r="R97" i="2" s="1"/>
  <c r="J96" i="2"/>
  <c r="L96" i="2" s="1"/>
  <c r="P96" i="2" s="1"/>
  <c r="R96" i="2" s="1"/>
  <c r="J104" i="2"/>
  <c r="L104" i="2" s="1"/>
  <c r="P104" i="2" s="1"/>
  <c r="R104" i="2" s="1"/>
  <c r="J83" i="2"/>
  <c r="L83" i="2" s="1"/>
  <c r="P83" i="2" s="1"/>
  <c r="R83" i="2" s="1"/>
  <c r="J79" i="2"/>
  <c r="L79" i="2" s="1"/>
  <c r="R79" i="2" s="1"/>
  <c r="P66" i="2"/>
  <c r="R66" i="2" s="1"/>
  <c r="P65" i="2"/>
  <c r="R65" i="2" s="1"/>
  <c r="J130" i="2"/>
  <c r="L130" i="2" s="1"/>
  <c r="P130" i="2" s="1"/>
  <c r="R130" i="2" s="1"/>
  <c r="J59" i="2"/>
  <c r="L59" i="2" s="1"/>
  <c r="P59" i="2" s="1"/>
  <c r="R59" i="2" s="1"/>
  <c r="I40" i="2"/>
  <c r="F40" i="2"/>
  <c r="I41" i="2"/>
  <c r="F41" i="2"/>
  <c r="R19" i="2" l="1"/>
  <c r="R20" i="2" s="1"/>
  <c r="P20" i="2"/>
  <c r="J40" i="2"/>
  <c r="L40" i="2" s="1"/>
  <c r="P40" i="2" s="1"/>
  <c r="R40" i="2" s="1"/>
  <c r="J41" i="2"/>
  <c r="L41" i="2" s="1"/>
  <c r="P41" i="2" s="1"/>
  <c r="R41" i="2" s="1"/>
  <c r="I45" i="2"/>
  <c r="E142" i="2"/>
  <c r="G142" i="2"/>
  <c r="H142" i="2"/>
  <c r="K142" i="2"/>
  <c r="M142" i="2"/>
  <c r="N142" i="2"/>
  <c r="Q142" i="2"/>
  <c r="E84" i="2"/>
  <c r="G84" i="2"/>
  <c r="H84" i="2"/>
  <c r="K84" i="2"/>
  <c r="M84" i="2"/>
  <c r="N84" i="2"/>
  <c r="Q84" i="2"/>
  <c r="D84" i="2"/>
  <c r="O76" i="2"/>
  <c r="O78" i="2"/>
  <c r="O122" i="2"/>
  <c r="I122" i="2"/>
  <c r="F122" i="2"/>
  <c r="E67" i="2"/>
  <c r="G67" i="2"/>
  <c r="H67" i="2"/>
  <c r="J67" i="2"/>
  <c r="K67" i="2"/>
  <c r="M67" i="2"/>
  <c r="N67" i="2"/>
  <c r="O67" i="2"/>
  <c r="Q67" i="2"/>
  <c r="L64" i="2"/>
  <c r="I64" i="2"/>
  <c r="D67" i="2"/>
  <c r="F64" i="2"/>
  <c r="E60" i="2"/>
  <c r="G60" i="2"/>
  <c r="H60" i="2"/>
  <c r="K60" i="2"/>
  <c r="M60" i="2"/>
  <c r="N60" i="2"/>
  <c r="Q60" i="2"/>
  <c r="D60" i="2"/>
  <c r="I58" i="2"/>
  <c r="F58" i="2"/>
  <c r="I100" i="2"/>
  <c r="F100" i="2"/>
  <c r="I52" i="2"/>
  <c r="F52" i="2"/>
  <c r="I51" i="2"/>
  <c r="F51" i="2"/>
  <c r="I50" i="2"/>
  <c r="F50" i="2"/>
  <c r="I55" i="2"/>
  <c r="F55" i="2"/>
  <c r="I39" i="2"/>
  <c r="F39" i="2"/>
  <c r="I38" i="2"/>
  <c r="F38" i="2"/>
  <c r="I36" i="2"/>
  <c r="F36" i="2"/>
  <c r="I37" i="2"/>
  <c r="F37" i="2"/>
  <c r="O121" i="2"/>
  <c r="I121" i="2"/>
  <c r="F121" i="2"/>
  <c r="O35" i="2"/>
  <c r="O31" i="2"/>
  <c r="D142" i="2"/>
  <c r="P64" i="2" l="1"/>
  <c r="R64" i="2" s="1"/>
  <c r="J37" i="2"/>
  <c r="L37" i="2" s="1"/>
  <c r="P37" i="2" s="1"/>
  <c r="R37" i="2" s="1"/>
  <c r="J55" i="2"/>
  <c r="L55" i="2" s="1"/>
  <c r="P55" i="2" s="1"/>
  <c r="R55" i="2" s="1"/>
  <c r="J51" i="2"/>
  <c r="L51" i="2" s="1"/>
  <c r="P51" i="2" s="1"/>
  <c r="R51" i="2" s="1"/>
  <c r="J58" i="2"/>
  <c r="L58" i="2" s="1"/>
  <c r="P58" i="2" s="1"/>
  <c r="R58" i="2" s="1"/>
  <c r="J121" i="2"/>
  <c r="L121" i="2" s="1"/>
  <c r="P121" i="2" s="1"/>
  <c r="R121" i="2" s="1"/>
  <c r="J36" i="2"/>
  <c r="L36" i="2" s="1"/>
  <c r="P36" i="2" s="1"/>
  <c r="R36" i="2" s="1"/>
  <c r="J39" i="2"/>
  <c r="L39" i="2" s="1"/>
  <c r="P39" i="2" s="1"/>
  <c r="R39" i="2" s="1"/>
  <c r="J52" i="2"/>
  <c r="L52" i="2" s="1"/>
  <c r="P52" i="2" s="1"/>
  <c r="R52" i="2" s="1"/>
  <c r="J122" i="2"/>
  <c r="L122" i="2" s="1"/>
  <c r="P122" i="2" s="1"/>
  <c r="R122" i="2" s="1"/>
  <c r="J50" i="2"/>
  <c r="L50" i="2" s="1"/>
  <c r="P50" i="2" s="1"/>
  <c r="R50" i="2" s="1"/>
  <c r="L38" i="2"/>
  <c r="P38" i="2" s="1"/>
  <c r="R38" i="2" s="1"/>
  <c r="J100" i="2"/>
  <c r="L62" i="2"/>
  <c r="L67" i="2" s="1"/>
  <c r="I62" i="2"/>
  <c r="I67" i="2" s="1"/>
  <c r="F62" i="2"/>
  <c r="F67" i="2" s="1"/>
  <c r="L14" i="2"/>
  <c r="I14" i="2"/>
  <c r="F14" i="2"/>
  <c r="O87" i="2"/>
  <c r="O142" i="2" s="1"/>
  <c r="I87" i="2"/>
  <c r="I142" i="2" s="1"/>
  <c r="F87" i="2"/>
  <c r="F142" i="2" s="1"/>
  <c r="I78" i="2"/>
  <c r="F78" i="2"/>
  <c r="I76" i="2"/>
  <c r="F76" i="2"/>
  <c r="O72" i="2"/>
  <c r="I72" i="2"/>
  <c r="F72" i="2"/>
  <c r="O74" i="2"/>
  <c r="I74" i="2"/>
  <c r="F74" i="2"/>
  <c r="O70" i="2"/>
  <c r="I70" i="2"/>
  <c r="F70" i="2"/>
  <c r="I69" i="2"/>
  <c r="F69" i="2"/>
  <c r="O54" i="2"/>
  <c r="I54" i="2"/>
  <c r="F54" i="2"/>
  <c r="O53" i="2"/>
  <c r="I53" i="2"/>
  <c r="F53" i="2"/>
  <c r="O45" i="2"/>
  <c r="F45" i="2"/>
  <c r="J45" i="2" s="1"/>
  <c r="L45" i="2" s="1"/>
  <c r="P45" i="2" s="1"/>
  <c r="R45" i="2" s="1"/>
  <c r="O44" i="2"/>
  <c r="I44" i="2"/>
  <c r="F44" i="2"/>
  <c r="Q42" i="2"/>
  <c r="N42" i="2"/>
  <c r="M42" i="2"/>
  <c r="K42" i="2"/>
  <c r="H42" i="2"/>
  <c r="G42" i="2"/>
  <c r="E42" i="2"/>
  <c r="D42" i="2"/>
  <c r="I35" i="2"/>
  <c r="F35" i="2"/>
  <c r="I31" i="2"/>
  <c r="F31" i="2"/>
  <c r="O29" i="2"/>
  <c r="I29" i="2"/>
  <c r="F29" i="2"/>
  <c r="O28" i="2"/>
  <c r="I28" i="2"/>
  <c r="L28" i="2" s="1"/>
  <c r="O27" i="2"/>
  <c r="I27" i="2"/>
  <c r="F27" i="2"/>
  <c r="O26" i="2"/>
  <c r="I26" i="2"/>
  <c r="F26" i="2"/>
  <c r="O25" i="2"/>
  <c r="I25" i="2"/>
  <c r="F25" i="2"/>
  <c r="O24" i="2"/>
  <c r="I24" i="2"/>
  <c r="F24" i="2"/>
  <c r="O22" i="2"/>
  <c r="I22" i="2"/>
  <c r="F22" i="2"/>
  <c r="Q17" i="2"/>
  <c r="O17" i="2"/>
  <c r="N17" i="2"/>
  <c r="M17" i="2"/>
  <c r="K17" i="2"/>
  <c r="J17" i="2"/>
  <c r="H17" i="2"/>
  <c r="G17" i="2"/>
  <c r="E17" i="2"/>
  <c r="D17" i="2"/>
  <c r="L13" i="2"/>
  <c r="I13" i="2"/>
  <c r="F13" i="2"/>
  <c r="M143" i="2" l="1"/>
  <c r="Q143" i="2"/>
  <c r="K143" i="2"/>
  <c r="E143" i="2"/>
  <c r="H143" i="2"/>
  <c r="D143" i="2"/>
  <c r="G143" i="2"/>
  <c r="N143" i="2"/>
  <c r="J35" i="2"/>
  <c r="L35" i="2" s="1"/>
  <c r="P35" i="2" s="1"/>
  <c r="R35" i="2" s="1"/>
  <c r="J25" i="2"/>
  <c r="L25" i="2" s="1"/>
  <c r="P25" i="2" s="1"/>
  <c r="R25" i="2" s="1"/>
  <c r="J26" i="2"/>
  <c r="L26" i="2" s="1"/>
  <c r="P26" i="2" s="1"/>
  <c r="R26" i="2" s="1"/>
  <c r="J24" i="2"/>
  <c r="L24" i="2" s="1"/>
  <c r="P24" i="2" s="1"/>
  <c r="R24" i="2" s="1"/>
  <c r="J29" i="2"/>
  <c r="L29" i="2" s="1"/>
  <c r="P29" i="2" s="1"/>
  <c r="R29" i="2" s="1"/>
  <c r="J22" i="2"/>
  <c r="L22" i="2" s="1"/>
  <c r="J27" i="2"/>
  <c r="L27" i="2" s="1"/>
  <c r="P27" i="2" s="1"/>
  <c r="R27" i="2" s="1"/>
  <c r="J31" i="2"/>
  <c r="L31" i="2" s="1"/>
  <c r="P31" i="2" s="1"/>
  <c r="R31" i="2" s="1"/>
  <c r="I84" i="2"/>
  <c r="P14" i="2"/>
  <c r="R14" i="2" s="1"/>
  <c r="I60" i="2"/>
  <c r="O60" i="2"/>
  <c r="F84" i="2"/>
  <c r="O84" i="2"/>
  <c r="L100" i="2"/>
  <c r="P100" i="2" s="1"/>
  <c r="R100" i="2" s="1"/>
  <c r="F60" i="2"/>
  <c r="I17" i="2"/>
  <c r="P67" i="2"/>
  <c r="I42" i="2"/>
  <c r="J54" i="2"/>
  <c r="L54" i="2" s="1"/>
  <c r="P54" i="2" s="1"/>
  <c r="R54" i="2" s="1"/>
  <c r="J70" i="2"/>
  <c r="L70" i="2" s="1"/>
  <c r="P70" i="2" s="1"/>
  <c r="R70" i="2" s="1"/>
  <c r="J78" i="2"/>
  <c r="L78" i="2" s="1"/>
  <c r="P78" i="2" s="1"/>
  <c r="R78" i="2" s="1"/>
  <c r="F17" i="2"/>
  <c r="L17" i="2"/>
  <c r="O42" i="2"/>
  <c r="J53" i="2"/>
  <c r="L53" i="2" s="1"/>
  <c r="P53" i="2" s="1"/>
  <c r="R53" i="2" s="1"/>
  <c r="J74" i="2"/>
  <c r="L74" i="2" s="1"/>
  <c r="P74" i="2" s="1"/>
  <c r="R74" i="2" s="1"/>
  <c r="J72" i="2"/>
  <c r="L72" i="2" s="1"/>
  <c r="P72" i="2" s="1"/>
  <c r="R72" i="2" s="1"/>
  <c r="J76" i="2"/>
  <c r="L76" i="2" s="1"/>
  <c r="P76" i="2" s="1"/>
  <c r="R76" i="2" s="1"/>
  <c r="P28" i="2"/>
  <c r="R28" i="2" s="1"/>
  <c r="F42" i="2"/>
  <c r="J69" i="2"/>
  <c r="P13" i="2"/>
  <c r="J44" i="2"/>
  <c r="J87" i="2"/>
  <c r="F143" i="2" l="1"/>
  <c r="O143" i="2"/>
  <c r="I143" i="2"/>
  <c r="J142" i="2"/>
  <c r="J60" i="2"/>
  <c r="J84" i="2"/>
  <c r="R62" i="2"/>
  <c r="R67" i="2" s="1"/>
  <c r="J42" i="2"/>
  <c r="L42" i="2"/>
  <c r="R22" i="2"/>
  <c r="L87" i="2"/>
  <c r="L142" i="2" s="1"/>
  <c r="P17" i="2"/>
  <c r="R13" i="2"/>
  <c r="R17" i="2" s="1"/>
  <c r="L69" i="2"/>
  <c r="L84" i="2" s="1"/>
  <c r="L44" i="2"/>
  <c r="L60" i="2" s="1"/>
  <c r="L143" i="2" l="1"/>
  <c r="J143" i="2"/>
  <c r="P69" i="2"/>
  <c r="P84" i="2" s="1"/>
  <c r="P87" i="2"/>
  <c r="P142" i="2" s="1"/>
  <c r="P60" i="2" l="1"/>
  <c r="P42" i="2"/>
  <c r="R87" i="2"/>
  <c r="R142" i="2" s="1"/>
  <c r="R69" i="2"/>
  <c r="R84" i="2" s="1"/>
  <c r="R44" i="2"/>
  <c r="R60" i="2" s="1"/>
  <c r="P143" i="2" l="1"/>
  <c r="R42" i="2"/>
  <c r="R143" i="2" s="1"/>
  <c r="Q164" i="6" l="1"/>
  <c r="O164" i="6"/>
  <c r="N164" i="6"/>
  <c r="M164" i="6"/>
  <c r="K164" i="6"/>
  <c r="J164" i="6"/>
  <c r="H164" i="6"/>
  <c r="G164" i="6"/>
  <c r="E164" i="6"/>
  <c r="D164" i="6"/>
  <c r="L163" i="6"/>
  <c r="I163" i="6"/>
  <c r="F163" i="6"/>
  <c r="L162" i="6"/>
  <c r="I162" i="6"/>
  <c r="P162" i="6" s="1"/>
  <c r="R162" i="6" s="1"/>
  <c r="F162" i="6"/>
  <c r="L161" i="6"/>
  <c r="I161" i="6"/>
  <c r="F161" i="6"/>
  <c r="L160" i="6"/>
  <c r="I160" i="6"/>
  <c r="P160" i="6" s="1"/>
  <c r="R160" i="6" s="1"/>
  <c r="F160" i="6"/>
  <c r="L159" i="6"/>
  <c r="I159" i="6"/>
  <c r="F159" i="6"/>
  <c r="L158" i="6"/>
  <c r="I158" i="6"/>
  <c r="P158" i="6" s="1"/>
  <c r="R158" i="6" s="1"/>
  <c r="F158" i="6"/>
  <c r="L157" i="6"/>
  <c r="L164" i="6" s="1"/>
  <c r="I157" i="6"/>
  <c r="F157" i="6"/>
  <c r="Q155" i="6"/>
  <c r="O155" i="6"/>
  <c r="N155" i="6"/>
  <c r="M155" i="6"/>
  <c r="K155" i="6"/>
  <c r="J155" i="6"/>
  <c r="H155" i="6"/>
  <c r="G155" i="6"/>
  <c r="E155" i="6"/>
  <c r="D155" i="6"/>
  <c r="L154" i="6"/>
  <c r="I154" i="6"/>
  <c r="P154" i="6" s="1"/>
  <c r="R154" i="6" s="1"/>
  <c r="F154" i="6"/>
  <c r="L153" i="6"/>
  <c r="I153" i="6"/>
  <c r="F153" i="6"/>
  <c r="L152" i="6"/>
  <c r="I152" i="6"/>
  <c r="P152" i="6" s="1"/>
  <c r="R152" i="6" s="1"/>
  <c r="F152" i="6"/>
  <c r="L151" i="6"/>
  <c r="I151" i="6"/>
  <c r="F151" i="6"/>
  <c r="F155" i="6" s="1"/>
  <c r="Q149" i="6"/>
  <c r="O149" i="6"/>
  <c r="N149" i="6"/>
  <c r="M149" i="6"/>
  <c r="K149" i="6"/>
  <c r="J149" i="6"/>
  <c r="H149" i="6"/>
  <c r="G149" i="6"/>
  <c r="E149" i="6"/>
  <c r="D149" i="6"/>
  <c r="L148" i="6"/>
  <c r="I148" i="6"/>
  <c r="P148" i="6" s="1"/>
  <c r="R148" i="6" s="1"/>
  <c r="F148" i="6"/>
  <c r="L147" i="6"/>
  <c r="I147" i="6"/>
  <c r="F147" i="6"/>
  <c r="L146" i="6"/>
  <c r="I146" i="6"/>
  <c r="F146" i="6"/>
  <c r="Q144" i="6"/>
  <c r="O144" i="6"/>
  <c r="N144" i="6"/>
  <c r="M144" i="6"/>
  <c r="K144" i="6"/>
  <c r="J144" i="6"/>
  <c r="H144" i="6"/>
  <c r="G144" i="6"/>
  <c r="E144" i="6"/>
  <c r="D144" i="6"/>
  <c r="L143" i="6"/>
  <c r="I143" i="6"/>
  <c r="F143" i="6"/>
  <c r="L142" i="6"/>
  <c r="I142" i="6"/>
  <c r="I144" i="6" s="1"/>
  <c r="F142" i="6"/>
  <c r="Q140" i="6"/>
  <c r="O140" i="6"/>
  <c r="N140" i="6"/>
  <c r="M140" i="6"/>
  <c r="K140" i="6"/>
  <c r="J140" i="6"/>
  <c r="H140" i="6"/>
  <c r="G140" i="6"/>
  <c r="E140" i="6"/>
  <c r="D140" i="6"/>
  <c r="L139" i="6"/>
  <c r="I139" i="6"/>
  <c r="F139" i="6"/>
  <c r="L138" i="6"/>
  <c r="I138" i="6"/>
  <c r="I140" i="6" s="1"/>
  <c r="F138" i="6"/>
  <c r="Q136" i="6"/>
  <c r="O136" i="6"/>
  <c r="N136" i="6"/>
  <c r="M136" i="6"/>
  <c r="K136" i="6"/>
  <c r="J136" i="6"/>
  <c r="H136" i="6"/>
  <c r="G136" i="6"/>
  <c r="E136" i="6"/>
  <c r="D136" i="6"/>
  <c r="L135" i="6"/>
  <c r="I135" i="6"/>
  <c r="F135" i="6"/>
  <c r="L134" i="6"/>
  <c r="I134" i="6"/>
  <c r="P134" i="6" s="1"/>
  <c r="R134" i="6" s="1"/>
  <c r="F134" i="6"/>
  <c r="L133" i="6"/>
  <c r="I133" i="6"/>
  <c r="F133" i="6"/>
  <c r="L132" i="6"/>
  <c r="I132" i="6"/>
  <c r="P132" i="6" s="1"/>
  <c r="R132" i="6" s="1"/>
  <c r="F132" i="6"/>
  <c r="L131" i="6"/>
  <c r="I131" i="6"/>
  <c r="F131" i="6"/>
  <c r="F136" i="6" s="1"/>
  <c r="L128" i="6"/>
  <c r="I128" i="6"/>
  <c r="P128" i="6" s="1"/>
  <c r="R128" i="6" s="1"/>
  <c r="F128" i="6"/>
  <c r="L127" i="6"/>
  <c r="I127" i="6"/>
  <c r="F127" i="6"/>
  <c r="L126" i="6"/>
  <c r="I126" i="6"/>
  <c r="P126" i="6" s="1"/>
  <c r="R126" i="6" s="1"/>
  <c r="F126" i="6"/>
  <c r="L52" i="6"/>
  <c r="I52" i="6"/>
  <c r="F52" i="6"/>
  <c r="O122" i="6"/>
  <c r="I122" i="6"/>
  <c r="F122" i="6"/>
  <c r="O121" i="6"/>
  <c r="I121" i="6"/>
  <c r="F121" i="6"/>
  <c r="J121" i="6" s="1"/>
  <c r="L121" i="6" s="1"/>
  <c r="O120" i="6"/>
  <c r="I120" i="6"/>
  <c r="F120" i="6"/>
  <c r="O119" i="6"/>
  <c r="I119" i="6"/>
  <c r="F119" i="6"/>
  <c r="J119" i="6" s="1"/>
  <c r="L119" i="6" s="1"/>
  <c r="O51" i="6"/>
  <c r="I51" i="6"/>
  <c r="F51" i="6"/>
  <c r="O50" i="6"/>
  <c r="I50" i="6"/>
  <c r="F50" i="6"/>
  <c r="J50" i="6" s="1"/>
  <c r="L50" i="6" s="1"/>
  <c r="O33" i="6"/>
  <c r="I33" i="6"/>
  <c r="F33" i="6"/>
  <c r="O32" i="6"/>
  <c r="I32" i="6"/>
  <c r="F32" i="6"/>
  <c r="J32" i="6" s="1"/>
  <c r="L32" i="6" s="1"/>
  <c r="O24" i="6"/>
  <c r="I24" i="6"/>
  <c r="F24" i="6"/>
  <c r="I23" i="6"/>
  <c r="F23" i="6"/>
  <c r="O37" i="6"/>
  <c r="I37" i="6"/>
  <c r="F37" i="6"/>
  <c r="J37" i="6" s="1"/>
  <c r="L37" i="6" s="1"/>
  <c r="O31" i="6"/>
  <c r="I31" i="6"/>
  <c r="F31" i="6"/>
  <c r="O19" i="6"/>
  <c r="I19" i="6"/>
  <c r="F19" i="6"/>
  <c r="O114" i="6"/>
  <c r="L114" i="6"/>
  <c r="I114" i="6"/>
  <c r="F114" i="6"/>
  <c r="O49" i="6"/>
  <c r="L49" i="6"/>
  <c r="I49" i="6"/>
  <c r="F49" i="6"/>
  <c r="O48" i="6"/>
  <c r="L48" i="6"/>
  <c r="I48" i="6"/>
  <c r="F48" i="6"/>
  <c r="O47" i="6"/>
  <c r="L47" i="6"/>
  <c r="I47" i="6"/>
  <c r="F47" i="6"/>
  <c r="O46" i="6"/>
  <c r="L46" i="6"/>
  <c r="I46" i="6"/>
  <c r="F46" i="6"/>
  <c r="O30" i="6"/>
  <c r="L30" i="6"/>
  <c r="P30" i="6" s="1"/>
  <c r="R30" i="6" s="1"/>
  <c r="F30" i="6"/>
  <c r="O18" i="6"/>
  <c r="L18" i="6"/>
  <c r="I18" i="6"/>
  <c r="F18" i="6"/>
  <c r="O107" i="6"/>
  <c r="I107" i="6"/>
  <c r="F107" i="6"/>
  <c r="O106" i="6"/>
  <c r="I106" i="6"/>
  <c r="F106" i="6"/>
  <c r="O105" i="6"/>
  <c r="I105" i="6"/>
  <c r="F105" i="6"/>
  <c r="O104" i="6"/>
  <c r="I104" i="6"/>
  <c r="F104" i="6"/>
  <c r="O45" i="6"/>
  <c r="I45" i="6"/>
  <c r="F45" i="6"/>
  <c r="O102" i="6"/>
  <c r="I102" i="6"/>
  <c r="F102" i="6"/>
  <c r="O36" i="6"/>
  <c r="I36" i="6"/>
  <c r="F36" i="6"/>
  <c r="O35" i="6"/>
  <c r="I35" i="6"/>
  <c r="F35" i="6"/>
  <c r="O29" i="6"/>
  <c r="I29" i="6"/>
  <c r="F29" i="6"/>
  <c r="O22" i="6"/>
  <c r="I22" i="6"/>
  <c r="F22" i="6"/>
  <c r="O17" i="6"/>
  <c r="I17" i="6"/>
  <c r="F17" i="6"/>
  <c r="O99" i="6"/>
  <c r="I99" i="6"/>
  <c r="F99" i="6"/>
  <c r="O98" i="6"/>
  <c r="I98" i="6"/>
  <c r="F98" i="6"/>
  <c r="O97" i="6"/>
  <c r="I97" i="6"/>
  <c r="F97" i="6"/>
  <c r="O96" i="6"/>
  <c r="I96" i="6"/>
  <c r="F96" i="6"/>
  <c r="O44" i="6"/>
  <c r="I44" i="6"/>
  <c r="F44" i="6"/>
  <c r="O43" i="6"/>
  <c r="I43" i="6"/>
  <c r="F43" i="6"/>
  <c r="O42" i="6"/>
  <c r="I42" i="6"/>
  <c r="F42" i="6"/>
  <c r="O41" i="6"/>
  <c r="I41" i="6"/>
  <c r="F41" i="6"/>
  <c r="O28" i="6"/>
  <c r="I28" i="6"/>
  <c r="F28" i="6"/>
  <c r="O27" i="6"/>
  <c r="I27" i="6"/>
  <c r="F27" i="6"/>
  <c r="O25" i="6"/>
  <c r="F25" i="6"/>
  <c r="J25" i="6" s="1"/>
  <c r="L25" i="6" s="1"/>
  <c r="P25" i="6" s="1"/>
  <c r="R25" i="6" s="1"/>
  <c r="O21" i="6"/>
  <c r="I21" i="6"/>
  <c r="F21" i="6"/>
  <c r="O16" i="6"/>
  <c r="I16" i="6"/>
  <c r="F16" i="6"/>
  <c r="I88" i="6"/>
  <c r="F88" i="6"/>
  <c r="I87" i="6"/>
  <c r="F87" i="6"/>
  <c r="O86" i="6"/>
  <c r="I86" i="6"/>
  <c r="F86" i="6"/>
  <c r="O85" i="6"/>
  <c r="I85" i="6"/>
  <c r="F85" i="6"/>
  <c r="O84" i="6"/>
  <c r="I84" i="6"/>
  <c r="F84" i="6"/>
  <c r="O83" i="6"/>
  <c r="I83" i="6"/>
  <c r="F83" i="6"/>
  <c r="O82" i="6"/>
  <c r="I82" i="6"/>
  <c r="F82" i="6"/>
  <c r="O81" i="6"/>
  <c r="I81" i="6"/>
  <c r="J81" i="6" s="1"/>
  <c r="L81" i="6" s="1"/>
  <c r="O40" i="6"/>
  <c r="I40" i="6"/>
  <c r="F40" i="6"/>
  <c r="O39" i="6"/>
  <c r="I39" i="6"/>
  <c r="O38" i="6"/>
  <c r="I38" i="6"/>
  <c r="F38" i="6"/>
  <c r="O34" i="6"/>
  <c r="I34" i="6"/>
  <c r="F34" i="6"/>
  <c r="O26" i="6"/>
  <c r="I26" i="6"/>
  <c r="F26" i="6"/>
  <c r="O20" i="6"/>
  <c r="I20" i="6"/>
  <c r="F20" i="6"/>
  <c r="O15" i="6"/>
  <c r="I15" i="6"/>
  <c r="F15" i="6"/>
  <c r="O75" i="6"/>
  <c r="L75" i="6"/>
  <c r="I75" i="6"/>
  <c r="F75" i="6"/>
  <c r="L14" i="6"/>
  <c r="I14" i="6"/>
  <c r="F14" i="6"/>
  <c r="Q72" i="6"/>
  <c r="Q76" i="6" s="1"/>
  <c r="N72" i="6"/>
  <c r="N76" i="6" s="1"/>
  <c r="M72" i="6"/>
  <c r="M76" i="6" s="1"/>
  <c r="M89" i="6" s="1"/>
  <c r="K72" i="6"/>
  <c r="K76" i="6" s="1"/>
  <c r="H72" i="6"/>
  <c r="H76" i="6" s="1"/>
  <c r="G72" i="6"/>
  <c r="E72" i="6"/>
  <c r="E76" i="6" s="1"/>
  <c r="D72" i="6"/>
  <c r="L71" i="6"/>
  <c r="I71" i="6"/>
  <c r="L70" i="6"/>
  <c r="I70" i="6"/>
  <c r="F70" i="6"/>
  <c r="L13" i="6"/>
  <c r="I13" i="6"/>
  <c r="F13" i="6"/>
  <c r="L136" i="6" l="1"/>
  <c r="I149" i="6"/>
  <c r="L155" i="6"/>
  <c r="F164" i="6"/>
  <c r="O72" i="6"/>
  <c r="O76" i="6" s="1"/>
  <c r="O89" i="6" s="1"/>
  <c r="J82" i="6"/>
  <c r="L82" i="6" s="1"/>
  <c r="J84" i="6"/>
  <c r="L84" i="6" s="1"/>
  <c r="J86" i="6"/>
  <c r="L86" i="6" s="1"/>
  <c r="J21" i="6"/>
  <c r="L21" i="6" s="1"/>
  <c r="P21" i="6" s="1"/>
  <c r="R21" i="6" s="1"/>
  <c r="J28" i="6"/>
  <c r="L28" i="6" s="1"/>
  <c r="J42" i="6"/>
  <c r="L42" i="6" s="1"/>
  <c r="J44" i="6"/>
  <c r="L44" i="6" s="1"/>
  <c r="J97" i="6"/>
  <c r="L97" i="6" s="1"/>
  <c r="P97" i="6" s="1"/>
  <c r="R97" i="6" s="1"/>
  <c r="J99" i="6"/>
  <c r="L99" i="6" s="1"/>
  <c r="J22" i="6"/>
  <c r="L22" i="6" s="1"/>
  <c r="J35" i="6"/>
  <c r="L35" i="6" s="1"/>
  <c r="J102" i="6"/>
  <c r="L102" i="6" s="1"/>
  <c r="P102" i="6" s="1"/>
  <c r="R102" i="6" s="1"/>
  <c r="J104" i="6"/>
  <c r="L104" i="6" s="1"/>
  <c r="J106" i="6"/>
  <c r="L106" i="6" s="1"/>
  <c r="M100" i="6"/>
  <c r="M108" i="6" s="1"/>
  <c r="I72" i="6"/>
  <c r="P14" i="6"/>
  <c r="D76" i="6"/>
  <c r="D89" i="6" s="1"/>
  <c r="E89" i="6"/>
  <c r="E100" i="6" s="1"/>
  <c r="H89" i="6"/>
  <c r="H100" i="6" s="1"/>
  <c r="Q89" i="6"/>
  <c r="Q100" i="6" s="1"/>
  <c r="G76" i="6"/>
  <c r="G89" i="6" s="1"/>
  <c r="J20" i="6"/>
  <c r="L20" i="6" s="1"/>
  <c r="P20" i="6" s="1"/>
  <c r="R20" i="6" s="1"/>
  <c r="J34" i="6"/>
  <c r="L34" i="6" s="1"/>
  <c r="P34" i="6" s="1"/>
  <c r="R34" i="6" s="1"/>
  <c r="K89" i="6"/>
  <c r="K100" i="6" s="1"/>
  <c r="N89" i="6"/>
  <c r="N100" i="6" s="1"/>
  <c r="F72" i="6"/>
  <c r="F76" i="6" s="1"/>
  <c r="F89" i="6" s="1"/>
  <c r="P70" i="6"/>
  <c r="R70" i="6" s="1"/>
  <c r="P71" i="6"/>
  <c r="R71" i="6" s="1"/>
  <c r="P75" i="6"/>
  <c r="R75" i="6" s="1"/>
  <c r="J26" i="6"/>
  <c r="L26" i="6" s="1"/>
  <c r="P26" i="6" s="1"/>
  <c r="R26" i="6" s="1"/>
  <c r="J38" i="6"/>
  <c r="L38" i="6" s="1"/>
  <c r="P38" i="6" s="1"/>
  <c r="R38" i="6" s="1"/>
  <c r="J39" i="6"/>
  <c r="L39" i="6" s="1"/>
  <c r="P39" i="6" s="1"/>
  <c r="R39" i="6" s="1"/>
  <c r="J40" i="6"/>
  <c r="L40" i="6" s="1"/>
  <c r="P40" i="6" s="1"/>
  <c r="R40" i="6" s="1"/>
  <c r="J83" i="6"/>
  <c r="L83" i="6" s="1"/>
  <c r="P83" i="6" s="1"/>
  <c r="R83" i="6" s="1"/>
  <c r="J85" i="6"/>
  <c r="L85" i="6" s="1"/>
  <c r="P85" i="6" s="1"/>
  <c r="R85" i="6" s="1"/>
  <c r="J87" i="6"/>
  <c r="L87" i="6" s="1"/>
  <c r="P87" i="6" s="1"/>
  <c r="R87" i="6" s="1"/>
  <c r="J88" i="6"/>
  <c r="L88" i="6" s="1"/>
  <c r="P88" i="6" s="1"/>
  <c r="R88" i="6" s="1"/>
  <c r="J27" i="6"/>
  <c r="L27" i="6" s="1"/>
  <c r="P27" i="6" s="1"/>
  <c r="R27" i="6" s="1"/>
  <c r="J41" i="6"/>
  <c r="L41" i="6" s="1"/>
  <c r="P41" i="6" s="1"/>
  <c r="R41" i="6" s="1"/>
  <c r="J43" i="6"/>
  <c r="L43" i="6" s="1"/>
  <c r="P43" i="6" s="1"/>
  <c r="R43" i="6" s="1"/>
  <c r="J96" i="6"/>
  <c r="L96" i="6" s="1"/>
  <c r="P96" i="6" s="1"/>
  <c r="R96" i="6" s="1"/>
  <c r="J98" i="6"/>
  <c r="L98" i="6" s="1"/>
  <c r="P98" i="6" s="1"/>
  <c r="R98" i="6" s="1"/>
  <c r="J17" i="6"/>
  <c r="J29" i="6"/>
  <c r="L29" i="6" s="1"/>
  <c r="P29" i="6" s="1"/>
  <c r="R29" i="6" s="1"/>
  <c r="J36" i="6"/>
  <c r="L36" i="6" s="1"/>
  <c r="P36" i="6" s="1"/>
  <c r="R36" i="6" s="1"/>
  <c r="J45" i="6"/>
  <c r="L45" i="6" s="1"/>
  <c r="P45" i="6" s="1"/>
  <c r="R45" i="6" s="1"/>
  <c r="J105" i="6"/>
  <c r="L105" i="6" s="1"/>
  <c r="P105" i="6" s="1"/>
  <c r="R105" i="6" s="1"/>
  <c r="J107" i="6"/>
  <c r="L107" i="6" s="1"/>
  <c r="P107" i="6" s="1"/>
  <c r="R107" i="6" s="1"/>
  <c r="P46" i="6"/>
  <c r="R46" i="6" s="1"/>
  <c r="P47" i="6"/>
  <c r="R47" i="6" s="1"/>
  <c r="P48" i="6"/>
  <c r="R48" i="6" s="1"/>
  <c r="P49" i="6"/>
  <c r="R49" i="6" s="1"/>
  <c r="P114" i="6"/>
  <c r="R114" i="6" s="1"/>
  <c r="J31" i="6"/>
  <c r="L31" i="6" s="1"/>
  <c r="P31" i="6" s="1"/>
  <c r="R31" i="6" s="1"/>
  <c r="J23" i="6"/>
  <c r="L23" i="6" s="1"/>
  <c r="P23" i="6" s="1"/>
  <c r="R23" i="6" s="1"/>
  <c r="J24" i="6"/>
  <c r="L24" i="6" s="1"/>
  <c r="P24" i="6" s="1"/>
  <c r="R24" i="6" s="1"/>
  <c r="J33" i="6"/>
  <c r="L33" i="6" s="1"/>
  <c r="P33" i="6" s="1"/>
  <c r="R33" i="6" s="1"/>
  <c r="J51" i="6"/>
  <c r="L51" i="6" s="1"/>
  <c r="P51" i="6" s="1"/>
  <c r="R51" i="6" s="1"/>
  <c r="J120" i="6"/>
  <c r="L120" i="6" s="1"/>
  <c r="P120" i="6" s="1"/>
  <c r="R120" i="6" s="1"/>
  <c r="J122" i="6"/>
  <c r="L122" i="6" s="1"/>
  <c r="P122" i="6" s="1"/>
  <c r="R122" i="6" s="1"/>
  <c r="P127" i="6"/>
  <c r="R127" i="6" s="1"/>
  <c r="I136" i="6"/>
  <c r="P133" i="6"/>
  <c r="R133" i="6" s="1"/>
  <c r="P135" i="6"/>
  <c r="R135" i="6" s="1"/>
  <c r="F140" i="6"/>
  <c r="L140" i="6"/>
  <c r="P139" i="6"/>
  <c r="R139" i="6" s="1"/>
  <c r="F144" i="6"/>
  <c r="L144" i="6"/>
  <c r="P143" i="6"/>
  <c r="R143" i="6" s="1"/>
  <c r="F149" i="6"/>
  <c r="L149" i="6"/>
  <c r="P147" i="6"/>
  <c r="R147" i="6" s="1"/>
  <c r="I155" i="6"/>
  <c r="P153" i="6"/>
  <c r="R153" i="6" s="1"/>
  <c r="P157" i="6"/>
  <c r="P159" i="6"/>
  <c r="R159" i="6" s="1"/>
  <c r="P161" i="6"/>
  <c r="R161" i="6" s="1"/>
  <c r="P163" i="6"/>
  <c r="R163" i="6" s="1"/>
  <c r="R14" i="6"/>
  <c r="L17" i="6"/>
  <c r="R157" i="6"/>
  <c r="P82" i="6"/>
  <c r="R82" i="6" s="1"/>
  <c r="P84" i="6"/>
  <c r="R84" i="6" s="1"/>
  <c r="P86" i="6"/>
  <c r="R86" i="6" s="1"/>
  <c r="P28" i="6"/>
  <c r="R28" i="6" s="1"/>
  <c r="P42" i="6"/>
  <c r="R42" i="6" s="1"/>
  <c r="P44" i="6"/>
  <c r="R44" i="6" s="1"/>
  <c r="P99" i="6"/>
  <c r="R99" i="6" s="1"/>
  <c r="P22" i="6"/>
  <c r="R22" i="6" s="1"/>
  <c r="P35" i="6"/>
  <c r="R35" i="6" s="1"/>
  <c r="P104" i="6"/>
  <c r="R104" i="6" s="1"/>
  <c r="P106" i="6"/>
  <c r="R106" i="6" s="1"/>
  <c r="P37" i="6"/>
  <c r="R37" i="6" s="1"/>
  <c r="P32" i="6"/>
  <c r="R32" i="6" s="1"/>
  <c r="P50" i="6"/>
  <c r="R50" i="6" s="1"/>
  <c r="P119" i="6"/>
  <c r="R119" i="6" s="1"/>
  <c r="P121" i="6"/>
  <c r="R121" i="6" s="1"/>
  <c r="P13" i="6"/>
  <c r="I76" i="6"/>
  <c r="I89" i="6" s="1"/>
  <c r="J15" i="6"/>
  <c r="P81" i="6"/>
  <c r="R81" i="6" s="1"/>
  <c r="J16" i="6"/>
  <c r="P17" i="6"/>
  <c r="P131" i="6"/>
  <c r="P138" i="6"/>
  <c r="P146" i="6"/>
  <c r="P151" i="6"/>
  <c r="I164" i="6"/>
  <c r="P18" i="6"/>
  <c r="J19" i="6"/>
  <c r="P52" i="6"/>
  <c r="P142" i="6"/>
  <c r="O100" i="6" l="1"/>
  <c r="R164" i="6"/>
  <c r="F100" i="6"/>
  <c r="F108" i="6" s="1"/>
  <c r="F115" i="6" s="1"/>
  <c r="M115" i="6"/>
  <c r="P164" i="6"/>
  <c r="Q108" i="6"/>
  <c r="Q115" i="6" s="1"/>
  <c r="H108" i="6"/>
  <c r="H115" i="6" s="1"/>
  <c r="N108" i="6"/>
  <c r="E108" i="6"/>
  <c r="E115" i="6" s="1"/>
  <c r="K108" i="6"/>
  <c r="I100" i="6"/>
  <c r="I108" i="6" s="1"/>
  <c r="D100" i="6"/>
  <c r="G100" i="6"/>
  <c r="J72" i="6"/>
  <c r="R52" i="6"/>
  <c r="R18" i="6"/>
  <c r="P144" i="6"/>
  <c r="R142" i="6"/>
  <c r="R144" i="6" s="1"/>
  <c r="L19" i="6"/>
  <c r="P155" i="6"/>
  <c r="R151" i="6"/>
  <c r="R155" i="6" s="1"/>
  <c r="P140" i="6"/>
  <c r="R138" i="6"/>
  <c r="R140" i="6" s="1"/>
  <c r="R17" i="6"/>
  <c r="L15" i="6"/>
  <c r="R13" i="6"/>
  <c r="R146" i="6"/>
  <c r="R149" i="6" s="1"/>
  <c r="P149" i="6"/>
  <c r="R131" i="6"/>
  <c r="R136" i="6" s="1"/>
  <c r="P136" i="6"/>
  <c r="L16" i="6"/>
  <c r="H123" i="6" l="1"/>
  <c r="H129" i="6" s="1"/>
  <c r="H165" i="6" s="1"/>
  <c r="M123" i="6"/>
  <c r="Q123" i="6"/>
  <c r="Q129" i="6" s="1"/>
  <c r="F123" i="6"/>
  <c r="E123" i="6"/>
  <c r="O108" i="6"/>
  <c r="O115" i="6" s="1"/>
  <c r="I115" i="6"/>
  <c r="N115" i="6"/>
  <c r="K115" i="6"/>
  <c r="J76" i="6"/>
  <c r="D108" i="6"/>
  <c r="G108" i="6"/>
  <c r="G115" i="6" s="1"/>
  <c r="L72" i="6"/>
  <c r="P16" i="6"/>
  <c r="P15" i="6"/>
  <c r="P19" i="6"/>
  <c r="Q165" i="6" l="1"/>
  <c r="E129" i="6"/>
  <c r="E165" i="6" s="1"/>
  <c r="F129" i="6"/>
  <c r="F165" i="6" s="1"/>
  <c r="M129" i="6"/>
  <c r="M165" i="6" s="1"/>
  <c r="I123" i="6"/>
  <c r="I129" i="6" s="1"/>
  <c r="N123" i="6"/>
  <c r="G123" i="6"/>
  <c r="K123" i="6"/>
  <c r="O123" i="6"/>
  <c r="O129" i="6" s="1"/>
  <c r="D115" i="6"/>
  <c r="P72" i="6"/>
  <c r="J89" i="6"/>
  <c r="L76" i="6"/>
  <c r="R19" i="6"/>
  <c r="R15" i="6"/>
  <c r="R16" i="6"/>
  <c r="P76" i="6" l="1"/>
  <c r="G129" i="6"/>
  <c r="G165" i="6" s="1"/>
  <c r="O165" i="6"/>
  <c r="I165" i="6"/>
  <c r="K129" i="6"/>
  <c r="K165" i="6" s="1"/>
  <c r="N129" i="6"/>
  <c r="N165" i="6" s="1"/>
  <c r="P89" i="6"/>
  <c r="P100" i="6" s="1"/>
  <c r="D123" i="6"/>
  <c r="L89" i="6"/>
  <c r="L100" i="6" s="1"/>
  <c r="L108" i="6" s="1"/>
  <c r="L115" i="6" s="1"/>
  <c r="L123" i="6" s="1"/>
  <c r="L129" i="6" s="1"/>
  <c r="J100" i="6"/>
  <c r="J108" i="6" s="1"/>
  <c r="R72" i="6"/>
  <c r="P108" i="6" l="1"/>
  <c r="P115" i="6" s="1"/>
  <c r="D129" i="6"/>
  <c r="D165" i="6" s="1"/>
  <c r="L165" i="6"/>
  <c r="J115" i="6"/>
  <c r="R76" i="6"/>
  <c r="S103" i="4"/>
  <c r="P123" i="6" l="1"/>
  <c r="P129" i="6" s="1"/>
  <c r="P165" i="6" s="1"/>
  <c r="J123" i="6"/>
  <c r="R89" i="6"/>
  <c r="R100" i="6" s="1"/>
  <c r="R108" i="6" s="1"/>
  <c r="G98" i="4"/>
  <c r="G100" i="4"/>
  <c r="G95" i="4"/>
  <c r="G78" i="4"/>
  <c r="Q78" i="4" s="1"/>
  <c r="G70" i="4"/>
  <c r="G65" i="4"/>
  <c r="G64" i="4"/>
  <c r="G62" i="4"/>
  <c r="O62" i="4" s="1"/>
  <c r="G60" i="4"/>
  <c r="G58" i="4"/>
  <c r="O58" i="4" s="1"/>
  <c r="G45" i="4"/>
  <c r="G44" i="4"/>
  <c r="R44" i="4" s="1"/>
  <c r="G43" i="4"/>
  <c r="G40" i="4"/>
  <c r="G39" i="4"/>
  <c r="G34" i="4"/>
  <c r="O34" i="4" s="1"/>
  <c r="G33" i="4"/>
  <c r="G32" i="4"/>
  <c r="G26" i="4"/>
  <c r="G24" i="4"/>
  <c r="R24" i="4" s="1"/>
  <c r="G23" i="4"/>
  <c r="G20" i="4"/>
  <c r="G15" i="4"/>
  <c r="O26" i="4"/>
  <c r="G68" i="4"/>
  <c r="G75" i="4"/>
  <c r="G83" i="4"/>
  <c r="N83" i="4" s="1"/>
  <c r="G76" i="4"/>
  <c r="O70" i="4"/>
  <c r="G61" i="4"/>
  <c r="G55" i="4"/>
  <c r="N55" i="4" s="1"/>
  <c r="G49" i="4"/>
  <c r="O49" i="4" s="1"/>
  <c r="G48" i="4"/>
  <c r="G47" i="4"/>
  <c r="G29" i="4"/>
  <c r="O29" i="4" s="1"/>
  <c r="G30" i="4"/>
  <c r="G27" i="4"/>
  <c r="J23" i="4"/>
  <c r="G19" i="4"/>
  <c r="Q19" i="4" s="1"/>
  <c r="G10" i="4"/>
  <c r="G9" i="4"/>
  <c r="P57" i="4"/>
  <c r="P14" i="4"/>
  <c r="O98" i="4"/>
  <c r="O95" i="4"/>
  <c r="O78" i="4"/>
  <c r="O76" i="4"/>
  <c r="O75" i="4"/>
  <c r="O68" i="4"/>
  <c r="O65" i="4"/>
  <c r="O64" i="4"/>
  <c r="O61" i="4"/>
  <c r="O48" i="4"/>
  <c r="O47" i="4"/>
  <c r="O45" i="4"/>
  <c r="O40" i="4"/>
  <c r="O39" i="4"/>
  <c r="O33" i="4"/>
  <c r="O30" i="4"/>
  <c r="O27" i="4"/>
  <c r="O23" i="4"/>
  <c r="O20" i="4"/>
  <c r="O19" i="4"/>
  <c r="O10" i="4"/>
  <c r="O9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79" i="4"/>
  <c r="I78" i="4"/>
  <c r="I77" i="4"/>
  <c r="I76" i="4"/>
  <c r="I75" i="4"/>
  <c r="I74" i="4"/>
  <c r="I73" i="4"/>
  <c r="I72" i="4"/>
  <c r="I71" i="4"/>
  <c r="I70" i="4"/>
  <c r="I69" i="4"/>
  <c r="I68" i="4"/>
  <c r="I65" i="4"/>
  <c r="I64" i="4"/>
  <c r="I63" i="4"/>
  <c r="I62" i="4"/>
  <c r="I61" i="4"/>
  <c r="I60" i="4"/>
  <c r="I59" i="4"/>
  <c r="I66" i="4" s="1"/>
  <c r="I58" i="4"/>
  <c r="I56" i="4"/>
  <c r="I55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53" i="4" s="1"/>
  <c r="I39" i="4"/>
  <c r="I38" i="4"/>
  <c r="I37" i="4"/>
  <c r="I34" i="4"/>
  <c r="I33" i="4"/>
  <c r="I32" i="4"/>
  <c r="I31" i="4"/>
  <c r="I30" i="4"/>
  <c r="I29" i="4"/>
  <c r="I28" i="4"/>
  <c r="I27" i="4"/>
  <c r="I26" i="4"/>
  <c r="I25" i="4"/>
  <c r="I24" i="4"/>
  <c r="I23" i="4"/>
  <c r="I20" i="4"/>
  <c r="I19" i="4"/>
  <c r="I18" i="4"/>
  <c r="I17" i="4"/>
  <c r="I16" i="4"/>
  <c r="I15" i="4"/>
  <c r="I11" i="4"/>
  <c r="I10" i="4"/>
  <c r="I9" i="4"/>
  <c r="I8" i="4"/>
  <c r="R95" i="4"/>
  <c r="Q98" i="4"/>
  <c r="Q95" i="4"/>
  <c r="Q76" i="4"/>
  <c r="Q75" i="4"/>
  <c r="Q68" i="4"/>
  <c r="Q65" i="4"/>
  <c r="Q64" i="4"/>
  <c r="Q61" i="4"/>
  <c r="Q48" i="4"/>
  <c r="Q47" i="4"/>
  <c r="Q45" i="4"/>
  <c r="Q40" i="4"/>
  <c r="Q39" i="4"/>
  <c r="Q33" i="4"/>
  <c r="Q30" i="4"/>
  <c r="Q27" i="4"/>
  <c r="Q23" i="4"/>
  <c r="Q20" i="4"/>
  <c r="Q10" i="4"/>
  <c r="Q9" i="4"/>
  <c r="O100" i="4"/>
  <c r="G99" i="4"/>
  <c r="O99" i="4" s="1"/>
  <c r="G96" i="4"/>
  <c r="O96" i="4" s="1"/>
  <c r="P96" i="4" s="1"/>
  <c r="G94" i="4"/>
  <c r="O94" i="4" s="1"/>
  <c r="G92" i="4"/>
  <c r="O92" i="4" s="1"/>
  <c r="G91" i="4"/>
  <c r="O91" i="4" s="1"/>
  <c r="G90" i="4"/>
  <c r="O90" i="4"/>
  <c r="G89" i="4"/>
  <c r="O89" i="4" s="1"/>
  <c r="G88" i="4"/>
  <c r="Q88" i="4" s="1"/>
  <c r="G87" i="4"/>
  <c r="O87" i="4" s="1"/>
  <c r="G86" i="4"/>
  <c r="O86" i="4"/>
  <c r="G85" i="4"/>
  <c r="O85" i="4" s="1"/>
  <c r="G84" i="4"/>
  <c r="O84" i="4" s="1"/>
  <c r="G79" i="4"/>
  <c r="O79" i="4" s="1"/>
  <c r="G77" i="4"/>
  <c r="O77" i="4" s="1"/>
  <c r="G74" i="4"/>
  <c r="O74" i="4" s="1"/>
  <c r="G72" i="4"/>
  <c r="N72" i="4" s="1"/>
  <c r="G71" i="4"/>
  <c r="O71" i="4" s="1"/>
  <c r="G69" i="4"/>
  <c r="O69" i="4" s="1"/>
  <c r="O60" i="4"/>
  <c r="G52" i="4"/>
  <c r="O52" i="4" s="1"/>
  <c r="G51" i="4"/>
  <c r="O51" i="4" s="1"/>
  <c r="G50" i="4"/>
  <c r="O50" i="4" s="1"/>
  <c r="G46" i="4"/>
  <c r="O46" i="4" s="1"/>
  <c r="G42" i="4"/>
  <c r="O42" i="4" s="1"/>
  <c r="G41" i="4"/>
  <c r="R41" i="4" s="1"/>
  <c r="O32" i="4"/>
  <c r="G31" i="4"/>
  <c r="R31" i="4" s="1"/>
  <c r="G28" i="4"/>
  <c r="O28" i="4" s="1"/>
  <c r="G17" i="4"/>
  <c r="N17" i="4" s="1"/>
  <c r="G16" i="4"/>
  <c r="O16" i="4" s="1"/>
  <c r="G11" i="4"/>
  <c r="N11" i="4" s="1"/>
  <c r="T7" i="4"/>
  <c r="G8" i="4"/>
  <c r="N8" i="4" s="1"/>
  <c r="H8" i="4"/>
  <c r="R8" i="4"/>
  <c r="H9" i="4"/>
  <c r="P9" i="4" s="1"/>
  <c r="N9" i="4"/>
  <c r="R9" i="4"/>
  <c r="H10" i="4"/>
  <c r="P10" i="4" s="1"/>
  <c r="N10" i="4"/>
  <c r="R10" i="4"/>
  <c r="H11" i="4"/>
  <c r="K11" i="4"/>
  <c r="K12" i="4" s="1"/>
  <c r="D12" i="4"/>
  <c r="E12" i="4"/>
  <c r="F12" i="4"/>
  <c r="H12" i="4"/>
  <c r="J12" i="4"/>
  <c r="L12" i="4"/>
  <c r="M12" i="4"/>
  <c r="G14" i="4"/>
  <c r="T14" i="4" s="1"/>
  <c r="O15" i="4"/>
  <c r="H15" i="4"/>
  <c r="N15" i="4"/>
  <c r="R15" i="4"/>
  <c r="H16" i="4"/>
  <c r="H17" i="4"/>
  <c r="R17" i="4"/>
  <c r="G18" i="4"/>
  <c r="O18" i="4" s="1"/>
  <c r="H18" i="4"/>
  <c r="H19" i="4"/>
  <c r="H20" i="4"/>
  <c r="K20" i="4"/>
  <c r="K21" i="4"/>
  <c r="N20" i="4"/>
  <c r="R20" i="4"/>
  <c r="D21" i="4"/>
  <c r="E21" i="4"/>
  <c r="F21" i="4"/>
  <c r="I21" i="4"/>
  <c r="J21" i="4"/>
  <c r="L21" i="4"/>
  <c r="M21" i="4"/>
  <c r="H23" i="4"/>
  <c r="N23" i="4"/>
  <c r="R23" i="4"/>
  <c r="H24" i="4"/>
  <c r="G25" i="4"/>
  <c r="O25" i="4" s="1"/>
  <c r="H25" i="4"/>
  <c r="H26" i="4"/>
  <c r="P26" i="4" s="1"/>
  <c r="N26" i="4"/>
  <c r="R26" i="4"/>
  <c r="H27" i="4"/>
  <c r="N27" i="4"/>
  <c r="R27" i="4"/>
  <c r="H28" i="4"/>
  <c r="N28" i="4"/>
  <c r="H29" i="4"/>
  <c r="R29" i="4"/>
  <c r="H30" i="4"/>
  <c r="N30" i="4"/>
  <c r="R30" i="4"/>
  <c r="H31" i="4"/>
  <c r="H32" i="4"/>
  <c r="K32" i="4"/>
  <c r="N32" i="4"/>
  <c r="R32" i="4"/>
  <c r="H33" i="4"/>
  <c r="K33" i="4"/>
  <c r="N33" i="4"/>
  <c r="R33" i="4"/>
  <c r="H34" i="4"/>
  <c r="K34" i="4"/>
  <c r="D35" i="4"/>
  <c r="E35" i="4"/>
  <c r="F35" i="4"/>
  <c r="I35" i="4"/>
  <c r="J35" i="4"/>
  <c r="L35" i="4"/>
  <c r="M35" i="4"/>
  <c r="G37" i="4"/>
  <c r="N37" i="4" s="1"/>
  <c r="H37" i="4"/>
  <c r="H53" i="4" s="1"/>
  <c r="R37" i="4"/>
  <c r="G38" i="4"/>
  <c r="N38" i="4" s="1"/>
  <c r="H38" i="4"/>
  <c r="N39" i="4"/>
  <c r="R39" i="4"/>
  <c r="H40" i="4"/>
  <c r="N40" i="4"/>
  <c r="R40" i="4"/>
  <c r="H41" i="4"/>
  <c r="H42" i="4"/>
  <c r="N42" i="4"/>
  <c r="R42" i="4"/>
  <c r="O43" i="4"/>
  <c r="H43" i="4"/>
  <c r="N43" i="4"/>
  <c r="R43" i="4"/>
  <c r="H44" i="4"/>
  <c r="H45" i="4"/>
  <c r="N45" i="4"/>
  <c r="P45" i="4" s="1"/>
  <c r="R45" i="4"/>
  <c r="H46" i="4"/>
  <c r="R46" i="4"/>
  <c r="H47" i="4"/>
  <c r="N47" i="4"/>
  <c r="R47" i="4"/>
  <c r="H48" i="4"/>
  <c r="K48" i="4"/>
  <c r="K53" i="4" s="1"/>
  <c r="N48" i="4"/>
  <c r="R48" i="4"/>
  <c r="H49" i="4"/>
  <c r="K49" i="4"/>
  <c r="R49" i="4"/>
  <c r="H50" i="4"/>
  <c r="K50" i="4"/>
  <c r="N50" i="4"/>
  <c r="R50" i="4"/>
  <c r="H51" i="4"/>
  <c r="K51" i="4"/>
  <c r="N51" i="4"/>
  <c r="R51" i="4"/>
  <c r="H52" i="4"/>
  <c r="K52" i="4"/>
  <c r="N52" i="4"/>
  <c r="R52" i="4"/>
  <c r="D53" i="4"/>
  <c r="E53" i="4"/>
  <c r="F53" i="4"/>
  <c r="J53" i="4"/>
  <c r="L53" i="4"/>
  <c r="M53" i="4"/>
  <c r="H55" i="4"/>
  <c r="R55" i="4"/>
  <c r="G56" i="4"/>
  <c r="O56" i="4" s="1"/>
  <c r="H56" i="4"/>
  <c r="L56" i="4"/>
  <c r="L66" i="4" s="1"/>
  <c r="G57" i="4"/>
  <c r="T57" i="4" s="1"/>
  <c r="H58" i="4"/>
  <c r="N58" i="4"/>
  <c r="R58" i="4"/>
  <c r="G59" i="4"/>
  <c r="N59" i="4" s="1"/>
  <c r="H59" i="4"/>
  <c r="H60" i="4"/>
  <c r="N60" i="4"/>
  <c r="R60" i="4"/>
  <c r="H61" i="4"/>
  <c r="J61" i="4"/>
  <c r="N61" i="4"/>
  <c r="R61" i="4"/>
  <c r="H62" i="4"/>
  <c r="N62" i="4"/>
  <c r="G63" i="4"/>
  <c r="O63" i="4"/>
  <c r="H63" i="4"/>
  <c r="J63" i="4"/>
  <c r="N63" i="4"/>
  <c r="R63" i="4"/>
  <c r="H64" i="4"/>
  <c r="K64" i="4"/>
  <c r="K66" i="4" s="1"/>
  <c r="N64" i="4"/>
  <c r="R64" i="4"/>
  <c r="H65" i="4"/>
  <c r="J65" i="4"/>
  <c r="K65" i="4"/>
  <c r="N65" i="4"/>
  <c r="R65" i="4"/>
  <c r="D66" i="4"/>
  <c r="E66" i="4"/>
  <c r="F66" i="4"/>
  <c r="M66" i="4"/>
  <c r="H68" i="4"/>
  <c r="N68" i="4"/>
  <c r="R68" i="4"/>
  <c r="H69" i="4"/>
  <c r="N69" i="4"/>
  <c r="R69" i="4"/>
  <c r="H70" i="4"/>
  <c r="N70" i="4"/>
  <c r="R70" i="4"/>
  <c r="H71" i="4"/>
  <c r="N71" i="4"/>
  <c r="R71" i="4"/>
  <c r="H72" i="4"/>
  <c r="R72" i="4"/>
  <c r="G73" i="4"/>
  <c r="O73" i="4" s="1"/>
  <c r="H73" i="4"/>
  <c r="H74" i="4"/>
  <c r="N74" i="4"/>
  <c r="R74" i="4"/>
  <c r="H75" i="4"/>
  <c r="N75" i="4"/>
  <c r="R75" i="4"/>
  <c r="H76" i="4"/>
  <c r="N76" i="4"/>
  <c r="R76" i="4"/>
  <c r="H77" i="4"/>
  <c r="N77" i="4"/>
  <c r="R77" i="4"/>
  <c r="H78" i="4"/>
  <c r="K78" i="4"/>
  <c r="H79" i="4"/>
  <c r="K79" i="4"/>
  <c r="D80" i="4"/>
  <c r="E80" i="4"/>
  <c r="F80" i="4"/>
  <c r="F103" i="4" s="1"/>
  <c r="J80" i="4"/>
  <c r="L80" i="4"/>
  <c r="M80" i="4"/>
  <c r="G82" i="4"/>
  <c r="N82" i="4" s="1"/>
  <c r="H82" i="4"/>
  <c r="H83" i="4"/>
  <c r="H84" i="4"/>
  <c r="R84" i="4"/>
  <c r="H85" i="4"/>
  <c r="N85" i="4"/>
  <c r="R85" i="4"/>
  <c r="H86" i="4"/>
  <c r="N86" i="4"/>
  <c r="R86" i="4"/>
  <c r="H87" i="4"/>
  <c r="N87" i="4"/>
  <c r="R87" i="4"/>
  <c r="H88" i="4"/>
  <c r="N88" i="4"/>
  <c r="N89" i="4"/>
  <c r="R89" i="4"/>
  <c r="H90" i="4"/>
  <c r="N90" i="4"/>
  <c r="R90" i="4"/>
  <c r="H91" i="4"/>
  <c r="N91" i="4"/>
  <c r="H92" i="4"/>
  <c r="N92" i="4"/>
  <c r="R92" i="4"/>
  <c r="G93" i="4"/>
  <c r="N93" i="4" s="1"/>
  <c r="O93" i="4"/>
  <c r="H93" i="4"/>
  <c r="R93" i="4"/>
  <c r="H94" i="4"/>
  <c r="N94" i="4"/>
  <c r="R94" i="4"/>
  <c r="H95" i="4"/>
  <c r="N95" i="4"/>
  <c r="N96" i="4"/>
  <c r="R96" i="4"/>
  <c r="G97" i="4"/>
  <c r="R97" i="4" s="1"/>
  <c r="O97" i="4"/>
  <c r="H97" i="4"/>
  <c r="K97" i="4"/>
  <c r="H98" i="4"/>
  <c r="K98" i="4"/>
  <c r="N98" i="4"/>
  <c r="R98" i="4"/>
  <c r="H99" i="4"/>
  <c r="K99" i="4"/>
  <c r="N99" i="4"/>
  <c r="R99" i="4"/>
  <c r="H100" i="4"/>
  <c r="J100" i="4"/>
  <c r="K100" i="4"/>
  <c r="N100" i="4"/>
  <c r="R100" i="4"/>
  <c r="D101" i="4"/>
  <c r="E101" i="4"/>
  <c r="F101" i="4"/>
  <c r="J101" i="4"/>
  <c r="L101" i="4"/>
  <c r="M101" i="4"/>
  <c r="E103" i="4"/>
  <c r="N84" i="4"/>
  <c r="I12" i="4"/>
  <c r="Q70" i="4"/>
  <c r="N49" i="4"/>
  <c r="Q49" i="4"/>
  <c r="Q15" i="4"/>
  <c r="Q25" i="4"/>
  <c r="Q28" i="4"/>
  <c r="Q32" i="4"/>
  <c r="Q42" i="4"/>
  <c r="Q44" i="4"/>
  <c r="Q46" i="4"/>
  <c r="Q51" i="4"/>
  <c r="Q59" i="4"/>
  <c r="Q63" i="4"/>
  <c r="Q69" i="4"/>
  <c r="Q74" i="4"/>
  <c r="Q84" i="4"/>
  <c r="Q86" i="4"/>
  <c r="Q90" i="4"/>
  <c r="Q92" i="4"/>
  <c r="Q94" i="4"/>
  <c r="Q96" i="4"/>
  <c r="Q100" i="4"/>
  <c r="O8" i="4"/>
  <c r="O38" i="4"/>
  <c r="O59" i="4"/>
  <c r="P98" i="4"/>
  <c r="T98" i="4" s="1"/>
  <c r="N97" i="4"/>
  <c r="R73" i="4"/>
  <c r="P68" i="4"/>
  <c r="R62" i="4"/>
  <c r="R56" i="4"/>
  <c r="N56" i="4"/>
  <c r="P56" i="4" s="1"/>
  <c r="P40" i="4"/>
  <c r="T40" i="4" s="1"/>
  <c r="R18" i="4"/>
  <c r="Q8" i="4"/>
  <c r="Q11" i="4"/>
  <c r="Q16" i="4"/>
  <c r="Q18" i="4"/>
  <c r="Q37" i="4"/>
  <c r="Q41" i="4"/>
  <c r="Q43" i="4"/>
  <c r="Q50" i="4"/>
  <c r="Q52" i="4"/>
  <c r="Q56" i="4"/>
  <c r="Q60" i="4"/>
  <c r="Q71" i="4"/>
  <c r="Q73" i="4"/>
  <c r="Q77" i="4"/>
  <c r="Q85" i="4"/>
  <c r="Q87" i="4"/>
  <c r="Q89" i="4"/>
  <c r="Q93" i="4"/>
  <c r="Q97" i="4"/>
  <c r="Q99" i="4"/>
  <c r="Q26" i="4"/>
  <c r="Q58" i="4"/>
  <c r="J66" i="4" l="1"/>
  <c r="M103" i="4"/>
  <c r="P47" i="4"/>
  <c r="T47" i="4" s="1"/>
  <c r="P62" i="4"/>
  <c r="H101" i="4"/>
  <c r="T56" i="4"/>
  <c r="T68" i="4"/>
  <c r="T26" i="4"/>
  <c r="I80" i="4"/>
  <c r="I101" i="4"/>
  <c r="P95" i="4"/>
  <c r="T95" i="4" s="1"/>
  <c r="D103" i="4"/>
  <c r="P33" i="4"/>
  <c r="T33" i="4" s="1"/>
  <c r="K35" i="4"/>
  <c r="P27" i="4"/>
  <c r="T27" i="4" s="1"/>
  <c r="R25" i="4"/>
  <c r="N18" i="4"/>
  <c r="P8" i="4"/>
  <c r="T8" i="4" s="1"/>
  <c r="P58" i="4"/>
  <c r="T58" i="4" s="1"/>
  <c r="J103" i="4"/>
  <c r="K101" i="4"/>
  <c r="R82" i="4"/>
  <c r="Q82" i="4"/>
  <c r="N73" i="4"/>
  <c r="N46" i="4"/>
  <c r="P43" i="4"/>
  <c r="T43" i="4" s="1"/>
  <c r="N16" i="4"/>
  <c r="P15" i="4"/>
  <c r="T15" i="4" s="1"/>
  <c r="N12" i="4"/>
  <c r="T9" i="4"/>
  <c r="H80" i="4"/>
  <c r="P38" i="4"/>
  <c r="Q12" i="4"/>
  <c r="Q79" i="4"/>
  <c r="P97" i="4"/>
  <c r="T97" i="4" s="1"/>
  <c r="Q72" i="4"/>
  <c r="Q80" i="4" s="1"/>
  <c r="Q38" i="4"/>
  <c r="Q53" i="4" s="1"/>
  <c r="P70" i="4"/>
  <c r="T70" i="4" s="1"/>
  <c r="G21" i="4"/>
  <c r="Q34" i="4"/>
  <c r="Q17" i="4"/>
  <c r="Q21" i="4" s="1"/>
  <c r="P84" i="4"/>
  <c r="L103" i="4"/>
  <c r="R91" i="4"/>
  <c r="R88" i="4"/>
  <c r="K80" i="4"/>
  <c r="K103" i="4" s="1"/>
  <c r="P73" i="4"/>
  <c r="T73" i="4" s="1"/>
  <c r="N44" i="4"/>
  <c r="N41" i="4"/>
  <c r="N31" i="4"/>
  <c r="P30" i="4"/>
  <c r="R28" i="4"/>
  <c r="N25" i="4"/>
  <c r="N24" i="4"/>
  <c r="P23" i="4"/>
  <c r="T23" i="4" s="1"/>
  <c r="N19" i="4"/>
  <c r="P19" i="4" s="1"/>
  <c r="T19" i="4" s="1"/>
  <c r="R16" i="4"/>
  <c r="O11" i="4"/>
  <c r="O12" i="4" s="1"/>
  <c r="O17" i="4"/>
  <c r="P17" i="4" s="1"/>
  <c r="Q31" i="4"/>
  <c r="O41" i="4"/>
  <c r="O72" i="4"/>
  <c r="P72" i="4" s="1"/>
  <c r="O88" i="4"/>
  <c r="Q29" i="4"/>
  <c r="Q55" i="4"/>
  <c r="Q83" i="4"/>
  <c r="O24" i="4"/>
  <c r="T96" i="4"/>
  <c r="G80" i="4"/>
  <c r="P92" i="4"/>
  <c r="R83" i="4"/>
  <c r="R79" i="4"/>
  <c r="R78" i="4"/>
  <c r="P75" i="4"/>
  <c r="T75" i="4" s="1"/>
  <c r="P64" i="4"/>
  <c r="T64" i="4" s="1"/>
  <c r="G53" i="4"/>
  <c r="O44" i="4"/>
  <c r="P39" i="4"/>
  <c r="T39" i="4" s="1"/>
  <c r="G35" i="4"/>
  <c r="R34" i="4"/>
  <c r="P32" i="4"/>
  <c r="T32" i="4" s="1"/>
  <c r="N29" i="4"/>
  <c r="P29" i="4" s="1"/>
  <c r="T29" i="4" s="1"/>
  <c r="P25" i="4"/>
  <c r="T25" i="4" s="1"/>
  <c r="P20" i="4"/>
  <c r="T20" i="4" s="1"/>
  <c r="R19" i="4"/>
  <c r="R21" i="4" s="1"/>
  <c r="G12" i="4"/>
  <c r="R11" i="4"/>
  <c r="R12" i="4" s="1"/>
  <c r="P89" i="4"/>
  <c r="T89" i="4" s="1"/>
  <c r="Q24" i="4"/>
  <c r="O55" i="4"/>
  <c r="P55" i="4" s="1"/>
  <c r="O83" i="4"/>
  <c r="P83" i="4" s="1"/>
  <c r="T83" i="4" s="1"/>
  <c r="P24" i="4"/>
  <c r="T24" i="4" s="1"/>
  <c r="P16" i="4"/>
  <c r="O31" i="4"/>
  <c r="Q91" i="4"/>
  <c r="Q62" i="4"/>
  <c r="T62" i="4" s="1"/>
  <c r="G101" i="4"/>
  <c r="P86" i="4"/>
  <c r="N79" i="4"/>
  <c r="N78" i="4"/>
  <c r="P78" i="4" s="1"/>
  <c r="T78" i="4" s="1"/>
  <c r="P76" i="4"/>
  <c r="T76" i="4" s="1"/>
  <c r="P65" i="4"/>
  <c r="T65" i="4" s="1"/>
  <c r="R38" i="4"/>
  <c r="R53" i="4" s="1"/>
  <c r="N34" i="4"/>
  <c r="P34" i="4" s="1"/>
  <c r="H21" i="4"/>
  <c r="J129" i="6"/>
  <c r="J165" i="6" s="1"/>
  <c r="R115" i="6"/>
  <c r="N101" i="4"/>
  <c r="P59" i="4"/>
  <c r="N66" i="4"/>
  <c r="N53" i="4"/>
  <c r="P18" i="4"/>
  <c r="T18" i="4" s="1"/>
  <c r="O21" i="4"/>
  <c r="P93" i="4"/>
  <c r="T93" i="4" s="1"/>
  <c r="P91" i="4"/>
  <c r="P88" i="4"/>
  <c r="O82" i="4"/>
  <c r="O101" i="4" s="1"/>
  <c r="P77" i="4"/>
  <c r="T77" i="4" s="1"/>
  <c r="P60" i="4"/>
  <c r="O37" i="4"/>
  <c r="P94" i="4"/>
  <c r="P85" i="4"/>
  <c r="T85" i="4" s="1"/>
  <c r="P71" i="4"/>
  <c r="P46" i="4"/>
  <c r="T30" i="4"/>
  <c r="R59" i="4"/>
  <c r="R66" i="4" s="1"/>
  <c r="P42" i="4"/>
  <c r="P28" i="4"/>
  <c r="T28" i="4" s="1"/>
  <c r="P90" i="4"/>
  <c r="P87" i="4"/>
  <c r="P74" i="4"/>
  <c r="T74" i="4" s="1"/>
  <c r="P69" i="4"/>
  <c r="T69" i="4" s="1"/>
  <c r="G66" i="4"/>
  <c r="T45" i="4"/>
  <c r="T10" i="4"/>
  <c r="I103" i="4"/>
  <c r="T84" i="4"/>
  <c r="P100" i="4"/>
  <c r="T100" i="4" s="1"/>
  <c r="P99" i="4"/>
  <c r="T99" i="4" s="1"/>
  <c r="T91" i="4"/>
  <c r="T90" i="4"/>
  <c r="T87" i="4"/>
  <c r="T86" i="4"/>
  <c r="P79" i="4"/>
  <c r="T79" i="4" s="1"/>
  <c r="P63" i="4"/>
  <c r="T63" i="4" s="1"/>
  <c r="P61" i="4"/>
  <c r="T61" i="4" s="1"/>
  <c r="H66" i="4"/>
  <c r="P52" i="4"/>
  <c r="P51" i="4"/>
  <c r="T51" i="4" s="1"/>
  <c r="P50" i="4"/>
  <c r="T50" i="4" s="1"/>
  <c r="P49" i="4"/>
  <c r="T49" i="4" s="1"/>
  <c r="P48" i="4"/>
  <c r="T42" i="4"/>
  <c r="H35" i="4"/>
  <c r="O35" i="4"/>
  <c r="T94" i="4"/>
  <c r="T92" i="4"/>
  <c r="T88" i="4"/>
  <c r="T71" i="4"/>
  <c r="T60" i="4"/>
  <c r="T52" i="4"/>
  <c r="T48" i="4"/>
  <c r="T46" i="4"/>
  <c r="T16" i="4"/>
  <c r="R35" i="4" l="1"/>
  <c r="R101" i="4"/>
  <c r="T38" i="4"/>
  <c r="P66" i="4"/>
  <c r="Q101" i="4"/>
  <c r="Q35" i="4"/>
  <c r="R80" i="4"/>
  <c r="T72" i="4"/>
  <c r="P80" i="4"/>
  <c r="T55" i="4"/>
  <c r="P21" i="4"/>
  <c r="T21" i="4" s="1"/>
  <c r="Q103" i="4"/>
  <c r="P11" i="4"/>
  <c r="O80" i="4"/>
  <c r="O66" i="4"/>
  <c r="O103" i="4" s="1"/>
  <c r="N80" i="4"/>
  <c r="N21" i="4"/>
  <c r="Q66" i="4"/>
  <c r="P41" i="4"/>
  <c r="T41" i="4" s="1"/>
  <c r="T34" i="4"/>
  <c r="N35" i="4"/>
  <c r="T17" i="4"/>
  <c r="P35" i="4"/>
  <c r="T35" i="4" s="1"/>
  <c r="R103" i="4"/>
  <c r="O53" i="4"/>
  <c r="P31" i="4"/>
  <c r="T31" i="4" s="1"/>
  <c r="P44" i="4"/>
  <c r="T44" i="4" s="1"/>
  <c r="R123" i="6"/>
  <c r="N103" i="4"/>
  <c r="P37" i="4"/>
  <c r="P82" i="4"/>
  <c r="T66" i="4"/>
  <c r="G103" i="4"/>
  <c r="T59" i="4"/>
  <c r="H103" i="4"/>
  <c r="T80" i="4" l="1"/>
  <c r="T11" i="4"/>
  <c r="P12" i="4"/>
  <c r="T12" i="4" s="1"/>
  <c r="R129" i="6"/>
  <c r="R165" i="6" s="1"/>
  <c r="T37" i="4"/>
  <c r="P53" i="4"/>
  <c r="T53" i="4" s="1"/>
  <c r="T82" i="4"/>
  <c r="P101" i="4"/>
  <c r="T101" i="4" l="1"/>
  <c r="T103" i="4" s="1"/>
  <c r="P103" i="4"/>
  <c r="I13" i="11"/>
  <c r="I18" i="11"/>
  <c r="I14" i="11"/>
  <c r="I12" i="11"/>
  <c r="I19" i="11"/>
  <c r="I10" i="11"/>
  <c r="I16" i="11" l="1"/>
  <c r="I9" i="11"/>
  <c r="I17" i="11"/>
  <c r="I11" i="11"/>
  <c r="I15" i="11"/>
  <c r="I101" i="11" l="1"/>
</calcChain>
</file>

<file path=xl/sharedStrings.xml><?xml version="1.0" encoding="utf-8"?>
<sst xmlns="http://schemas.openxmlformats.org/spreadsheetml/2006/main" count="1191" uniqueCount="243">
  <si>
    <t>[See Rules 19,28,52 and 54]</t>
  </si>
  <si>
    <t>Total</t>
  </si>
  <si>
    <t>BPS</t>
  </si>
  <si>
    <t>Designation</t>
  </si>
  <si>
    <t>Sanctioned</t>
  </si>
  <si>
    <t>Filled</t>
  </si>
  <si>
    <t xml:space="preserve">Vacant </t>
  </si>
  <si>
    <t>M</t>
  </si>
  <si>
    <t>F</t>
  </si>
  <si>
    <t>Female</t>
  </si>
  <si>
    <t>Computer Operator</t>
  </si>
  <si>
    <t>Junior Clerk</t>
  </si>
  <si>
    <t>Driver</t>
  </si>
  <si>
    <t>Naib Qasid</t>
  </si>
  <si>
    <t>Total:</t>
  </si>
  <si>
    <t>Head Clerk</t>
  </si>
  <si>
    <t>Senior Clerk</t>
  </si>
  <si>
    <t>General Branch/T.M.O</t>
  </si>
  <si>
    <t>Office Superintendent</t>
  </si>
  <si>
    <t>Chowkidar</t>
  </si>
  <si>
    <t>Sanitary Worker</t>
  </si>
  <si>
    <t>Electrition</t>
  </si>
  <si>
    <t>Accountant</t>
  </si>
  <si>
    <t>Special Judicial Magistrate</t>
  </si>
  <si>
    <t>Legal Advisor</t>
  </si>
  <si>
    <t>Building Inspector</t>
  </si>
  <si>
    <t>Sub Engineer</t>
  </si>
  <si>
    <t>Draftsman</t>
  </si>
  <si>
    <t>Tracer</t>
  </si>
  <si>
    <t>Superintendent</t>
  </si>
  <si>
    <t>Mate</t>
  </si>
  <si>
    <t>Truck Driver</t>
  </si>
  <si>
    <t>Light Checker</t>
  </si>
  <si>
    <t>FORM BDC - 3</t>
  </si>
  <si>
    <t>Strength/ No. of Posts</t>
  </si>
  <si>
    <t>Male</t>
  </si>
  <si>
    <t>Town Nazim</t>
  </si>
  <si>
    <t>Town Officer (Finance)</t>
  </si>
  <si>
    <t>Town Officer (Regulations)</t>
  </si>
  <si>
    <t>Town Officer (P &amp; C)</t>
  </si>
  <si>
    <t>Town Officer (I&amp;S)</t>
  </si>
  <si>
    <t>Town Naib Nazim</t>
  </si>
  <si>
    <t>Town Municipal Officer</t>
  </si>
  <si>
    <t>Town Officer (P&amp;C)</t>
  </si>
  <si>
    <t>Baildar</t>
  </si>
  <si>
    <t>Fixed</t>
  </si>
  <si>
    <t>Patwari</t>
  </si>
  <si>
    <t>Computer Opreator</t>
  </si>
  <si>
    <t>Council Officer</t>
  </si>
  <si>
    <t>Steno Grapher</t>
  </si>
  <si>
    <t xml:space="preserve">Assistant </t>
  </si>
  <si>
    <t xml:space="preserve">Senior Clerk </t>
  </si>
  <si>
    <t>Head Draftsman</t>
  </si>
  <si>
    <t>ATO (I&amp;S)</t>
  </si>
  <si>
    <t>Road Inspector</t>
  </si>
  <si>
    <t>Meter Reader</t>
  </si>
  <si>
    <t>Helper</t>
  </si>
  <si>
    <t>Road Roler Driver</t>
  </si>
  <si>
    <t>Road Roler Cleaner</t>
  </si>
  <si>
    <t>Internal Auditor</t>
  </si>
  <si>
    <t>Naib Darogha</t>
  </si>
  <si>
    <t>Vetrinary Officer</t>
  </si>
  <si>
    <t>Vetrinary Assistant</t>
  </si>
  <si>
    <t>Stamper</t>
  </si>
  <si>
    <t>ASL</t>
  </si>
  <si>
    <t xml:space="preserve">Junior Clerk </t>
  </si>
  <si>
    <t xml:space="preserve">Naib Qasid </t>
  </si>
  <si>
    <t>Gangman</t>
  </si>
  <si>
    <t>Electrician</t>
  </si>
  <si>
    <t>Sr. No.</t>
  </si>
  <si>
    <t xml:space="preserve">Sr. No. </t>
  </si>
  <si>
    <t>ATO (F)</t>
  </si>
  <si>
    <t>House Rent</t>
  </si>
  <si>
    <t>Leave Salary 12.5%</t>
  </si>
  <si>
    <t>Assistant Manager</t>
  </si>
  <si>
    <t>Basic Pay</t>
  </si>
  <si>
    <t>Convey-ance Allowance</t>
  </si>
  <si>
    <t>Medical Allow-ance</t>
  </si>
  <si>
    <t>Ent. Allow-ance</t>
  </si>
  <si>
    <t>Assistant / PA</t>
  </si>
  <si>
    <t>Town Officer (R)</t>
  </si>
  <si>
    <t>Bill Clerck</t>
  </si>
  <si>
    <t>14/16</t>
  </si>
  <si>
    <t>Adhoc Releif 15% 2011</t>
  </si>
  <si>
    <t>Adhoc Releif 50% 2010</t>
  </si>
  <si>
    <t>Pension 50%</t>
  </si>
  <si>
    <t>FORM BDC - 2</t>
  </si>
  <si>
    <t>Adhoc Releif 20% 2012</t>
  </si>
  <si>
    <t>m</t>
  </si>
  <si>
    <t>ESTABLISHMENT BUDGET BY FUNCTION AND DESIGNATION F.Y 2013-14</t>
  </si>
  <si>
    <t>Adhoc Releif 10% 2013</t>
  </si>
  <si>
    <t>Total Allow-ances</t>
  </si>
  <si>
    <t>Over Time Allowance</t>
  </si>
  <si>
    <t>Allocation for Pending Pension Contribution of LCS and MCL / ZCL Employees</t>
  </si>
  <si>
    <t>GRAND TOTAL</t>
  </si>
  <si>
    <t>Office Assistant</t>
  </si>
  <si>
    <t>Court Clerk</t>
  </si>
  <si>
    <t>Record Keeper</t>
  </si>
  <si>
    <t>Dak Runner</t>
  </si>
  <si>
    <t>Personal Assistant</t>
  </si>
  <si>
    <t>Rent Inspector</t>
  </si>
  <si>
    <t>Motor Mechanic</t>
  </si>
  <si>
    <t>Light Inspector</t>
  </si>
  <si>
    <t>Electrician Helper</t>
  </si>
  <si>
    <t>Tubewell Operator</t>
  </si>
  <si>
    <t xml:space="preserve">Chief Officer </t>
  </si>
  <si>
    <t xml:space="preserve">Sanitary Worker </t>
  </si>
  <si>
    <t>Imam Masjid</t>
  </si>
  <si>
    <t>Sweeper</t>
  </si>
  <si>
    <t>1/2</t>
  </si>
  <si>
    <t>ESTABLISHMENT STRENGTH BY FUNCTION 2016-17</t>
  </si>
  <si>
    <t>[See Rules 17(2), 25(1), 34(3)(c) &amp; 34(3)(f)(ii)]</t>
  </si>
  <si>
    <t>Name of Local Government</t>
  </si>
  <si>
    <t>Grant No.</t>
  </si>
  <si>
    <t>Detailed Function Code:</t>
  </si>
  <si>
    <t>Recruitment
Planned for Next
Year</t>
  </si>
  <si>
    <t>Total
Establishment
(Filled +
Recruitment)</t>
  </si>
  <si>
    <t>Note: To be prepared by each DDO and cosoldated by 'Function' and 'Grant'. 'F' stand for 'Female ' and 'M' stand for 'Male .</t>
  </si>
  <si>
    <t>Grant No._______________________________</t>
  </si>
  <si>
    <t xml:space="preserve">Name of Local Government: M.C Kamoke </t>
  </si>
  <si>
    <t xml:space="preserve">Detailed Function Code: </t>
  </si>
  <si>
    <t xml:space="preserve">Chairman </t>
  </si>
  <si>
    <t xml:space="preserve">Vice Chairman </t>
  </si>
  <si>
    <t>M.O  (Finance)</t>
  </si>
  <si>
    <t>M.O (Regulation)</t>
  </si>
  <si>
    <t>M.O  (Planning )</t>
  </si>
  <si>
    <t>M.O (Infrastructure )</t>
  </si>
  <si>
    <t>Chairman</t>
  </si>
  <si>
    <t>Telephone Operator</t>
  </si>
  <si>
    <t>Vice Chairman</t>
  </si>
  <si>
    <t>Chief Officer</t>
  </si>
  <si>
    <t>2/4</t>
  </si>
  <si>
    <t>2</t>
  </si>
  <si>
    <t>Legal Adivsor</t>
  </si>
  <si>
    <t>1</t>
  </si>
  <si>
    <t>MO (Finance)</t>
  </si>
  <si>
    <t>Tax Superintendent</t>
  </si>
  <si>
    <t>License Inspector</t>
  </si>
  <si>
    <t>License Clerk</t>
  </si>
  <si>
    <t>Tax Inspector</t>
  </si>
  <si>
    <t>Cashier</t>
  </si>
  <si>
    <t>Vetranary Officer</t>
  </si>
  <si>
    <t>MO (Regulation)</t>
  </si>
  <si>
    <t>Encorachment Inspector</t>
  </si>
  <si>
    <t>Encroachment Clerk</t>
  </si>
  <si>
    <t>Slaughter House Clerk</t>
  </si>
  <si>
    <t>Chowkidar Slaughter House</t>
  </si>
  <si>
    <t>Gang Man</t>
  </si>
  <si>
    <t>MO (Planning)</t>
  </si>
  <si>
    <t>MO (I)</t>
  </si>
  <si>
    <t>Senior Sub Engineer</t>
  </si>
  <si>
    <t>Head Clerk / SDC</t>
  </si>
  <si>
    <t>Junior Clerk / ASDC</t>
  </si>
  <si>
    <t>1/3</t>
  </si>
  <si>
    <t>Street Light</t>
  </si>
  <si>
    <t>Electric Supervisor</t>
  </si>
  <si>
    <t>Water Supply</t>
  </si>
  <si>
    <t>Plumber</t>
  </si>
  <si>
    <t>Plumber Qully</t>
  </si>
  <si>
    <t>Helper Plumber</t>
  </si>
  <si>
    <t>Disposal Works</t>
  </si>
  <si>
    <t>Disposal Operator</t>
  </si>
  <si>
    <t>Fire Fighting</t>
  </si>
  <si>
    <t>Fireman</t>
  </si>
  <si>
    <t>Fire Brigade Driver</t>
  </si>
  <si>
    <t>4/5</t>
  </si>
  <si>
    <t>Municipal Park</t>
  </si>
  <si>
    <t>Mali</t>
  </si>
  <si>
    <t>1/2/3/4</t>
  </si>
  <si>
    <t>Municipal Stadium</t>
  </si>
  <si>
    <t>Supervisor</t>
  </si>
  <si>
    <t>Sanitation Branch</t>
  </si>
  <si>
    <t>Sanitary Inspector</t>
  </si>
  <si>
    <t>Sanitary Supervisor</t>
  </si>
  <si>
    <t>Tractor Driver / Driver</t>
  </si>
  <si>
    <t>Sewer Man</t>
  </si>
  <si>
    <t>Tractor Driver</t>
  </si>
  <si>
    <t>Sewerman</t>
  </si>
  <si>
    <t xml:space="preserve">MC Kamoke </t>
  </si>
  <si>
    <t xml:space="preserve">Establishment Charges </t>
  </si>
  <si>
    <t> 11</t>
  </si>
  <si>
    <t> 16</t>
  </si>
  <si>
    <t> 5</t>
  </si>
  <si>
    <t> 4</t>
  </si>
  <si>
    <t>Octori Naib Qasid</t>
  </si>
  <si>
    <t>Octori Clerk</t>
  </si>
  <si>
    <t>Municipal Officer (Finance)</t>
  </si>
  <si>
    <t> 14</t>
  </si>
  <si>
    <t>Municipal Officer (Regulation)</t>
  </si>
  <si>
    <t>Stenographer</t>
  </si>
  <si>
    <t>OSD</t>
  </si>
  <si>
    <t> 3</t>
  </si>
  <si>
    <t> 2</t>
  </si>
  <si>
    <t>Municipal Officer (Planning)</t>
  </si>
  <si>
    <t>Municipal Officer (I&amp;S)</t>
  </si>
  <si>
    <t>Senior Sub Engineer (LGS)</t>
  </si>
  <si>
    <t>Sub Engineer (LCS)</t>
  </si>
  <si>
    <t>Electrical Supervisor</t>
  </si>
  <si>
    <t>Sanitatary Supervisor</t>
  </si>
  <si>
    <t>Supervisor Stadium</t>
  </si>
  <si>
    <t>Helper Plumber</t>
  </si>
  <si>
    <t> 9</t>
  </si>
  <si>
    <t>Municipal Officer (P&amp;A) (LGS)</t>
  </si>
  <si>
    <t>Encroachment Inspector</t>
  </si>
  <si>
    <t>Chairman/Administrator</t>
  </si>
  <si>
    <t>Telephone Attendent (17-A)</t>
  </si>
  <si>
    <t>Gangman (Paida)</t>
  </si>
  <si>
    <t>Veternary Officer</t>
  </si>
  <si>
    <t>[See Rules 17(2), 25(1), 33(8)(c) &amp; 33(9)(b)]</t>
  </si>
  <si>
    <t xml:space="preserve">Name of Local Government : M.C Kamoke </t>
  </si>
  <si>
    <t>Rupees in Million</t>
  </si>
  <si>
    <t>Strength / No. of Posts</t>
  </si>
  <si>
    <t>Establishemt Charges</t>
  </si>
  <si>
    <t xml:space="preserve">Leave Salary /Encashment </t>
  </si>
  <si>
    <t>Allowances</t>
  </si>
  <si>
    <t>Pension %
A042</t>
  </si>
  <si>
    <t xml:space="preserve">Social Security Benfits </t>
  </si>
  <si>
    <t xml:space="preserve">Total </t>
  </si>
  <si>
    <t>Grand Total</t>
  </si>
  <si>
    <t xml:space="preserve">ESTABLISHMENT STRENGTH BY DESIGNATION </t>
  </si>
  <si>
    <t>[See Rules 17(2), 25(1), 33(8)&amp; 33(9)(b)]</t>
  </si>
  <si>
    <t>FORM BDC - 4</t>
  </si>
  <si>
    <t xml:space="preserve">Name of Local Government: Mc Kamoke </t>
  </si>
  <si>
    <t>Vacant</t>
  </si>
  <si>
    <t>Recruitment Planned
for Next Year</t>
  </si>
  <si>
    <t>FORM BDC - 5</t>
  </si>
  <si>
    <t>ESTABLISHMENT BUDGET BY  DESIGNATION</t>
  </si>
  <si>
    <t>Name of Local Government: MC Kamoke</t>
  </si>
  <si>
    <t>Leave Salary encashment</t>
  </si>
  <si>
    <t xml:space="preserve">Social Security Benfit </t>
  </si>
  <si>
    <t xml:space="preserve">G.Total </t>
  </si>
  <si>
    <t>Water Rate Clerk</t>
  </si>
  <si>
    <t xml:space="preserve">Encroachment Clerk </t>
  </si>
  <si>
    <t>Food Clerk</t>
  </si>
  <si>
    <t>Transport Clerk</t>
  </si>
  <si>
    <t>Mashki</t>
  </si>
  <si>
    <t>Water Carrier</t>
  </si>
  <si>
    <t>Piada</t>
  </si>
  <si>
    <t>Accounts Clerk</t>
  </si>
  <si>
    <t>ESTABLISHMENT STRENGTH BY FUNCTION 2023-24</t>
  </si>
  <si>
    <t>Disposal Operator / Cum Chowkidar</t>
  </si>
  <si>
    <t>ESTABLISHMENT BUDGET BY FUNCTION AND DESIGNATION  2023-24</t>
  </si>
  <si>
    <t>Gangman / Baildar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</si>
</sst>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2"/>
      <color rgb="FF000000"/>
      <name val="Arial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ctivaCapsSSK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4" fillId="0" borderId="0"/>
    <xf numFmtId="0" fontId="16" fillId="0" borderId="1">
      <alignment horizontal="distributed" vertical="center" wrapText="1" indent="3"/>
    </xf>
    <xf numFmtId="0" fontId="1" fillId="0" borderId="0">
      <alignment horizontal="justify" vertical="top"/>
    </xf>
    <xf numFmtId="0" fontId="1" fillId="0" borderId="0">
      <alignment horizontal="justify" vertical="top"/>
    </xf>
    <xf numFmtId="0" fontId="1" fillId="0" borderId="0">
      <alignment horizontal="justify" vertical="top"/>
    </xf>
    <xf numFmtId="0" fontId="1" fillId="0" borderId="0">
      <alignment horizontal="justify" vertical="top"/>
    </xf>
    <xf numFmtId="0" fontId="1" fillId="0" borderId="0">
      <alignment horizontal="justify" vertical="top"/>
    </xf>
    <xf numFmtId="43" fontId="1" fillId="0" borderId="0" applyFont="0" applyFill="0" applyBorder="0" applyAlignment="0" applyProtection="0"/>
    <xf numFmtId="0" fontId="1" fillId="0" borderId="0">
      <alignment horizontal="justify" vertical="top"/>
    </xf>
    <xf numFmtId="0" fontId="1" fillId="0" borderId="0">
      <alignment horizontal="justify" vertical="top"/>
    </xf>
  </cellStyleXfs>
  <cellXfs count="39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1" fontId="16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" fontId="15" fillId="2" borderId="10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1" fontId="16" fillId="0" borderId="4" xfId="0" applyNumberFormat="1" applyFont="1" applyBorder="1" applyAlignment="1">
      <alignment vertical="center"/>
    </xf>
    <xf numFmtId="1" fontId="0" fillId="0" borderId="4" xfId="0" applyNumberForma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horizontal="center" vertical="center" textRotation="180"/>
    </xf>
    <xf numFmtId="0" fontId="19" fillId="2" borderId="11" xfId="0" applyFont="1" applyFill="1" applyBorder="1" applyAlignment="1">
      <alignment horizontal="center" vertical="center" textRotation="180" wrapText="1"/>
    </xf>
    <xf numFmtId="1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4" borderId="36" xfId="0" applyFont="1" applyFill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/>
    <xf numFmtId="0" fontId="11" fillId="0" borderId="33" xfId="0" applyFont="1" applyBorder="1" applyAlignment="1">
      <alignment horizontal="center" vertical="center"/>
    </xf>
    <xf numFmtId="0" fontId="22" fillId="0" borderId="32" xfId="0" applyFont="1" applyBorder="1" applyAlignment="1"/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5" fillId="3" borderId="1" xfId="3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/>
    <xf numFmtId="0" fontId="2" fillId="0" borderId="0" xfId="0" applyFont="1" applyFill="1"/>
    <xf numFmtId="0" fontId="26" fillId="0" borderId="1" xfId="3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4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5" fillId="0" borderId="1" xfId="6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64" fontId="0" fillId="0" borderId="0" xfId="8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9" xfId="0" applyFont="1" applyFill="1" applyBorder="1" applyAlignment="1">
      <alignment horizontal="right"/>
    </xf>
    <xf numFmtId="0" fontId="26" fillId="0" borderId="8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right" vertical="center"/>
    </xf>
    <xf numFmtId="0" fontId="26" fillId="0" borderId="8" xfId="3" applyFont="1" applyFill="1" applyBorder="1" applyAlignment="1">
      <alignment horizontal="right" vertical="center"/>
    </xf>
    <xf numFmtId="0" fontId="26" fillId="0" borderId="23" xfId="3" applyFont="1" applyFill="1" applyBorder="1" applyAlignment="1">
      <alignment horizontal="right" vertical="center"/>
    </xf>
    <xf numFmtId="0" fontId="26" fillId="0" borderId="9" xfId="3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6" fillId="0" borderId="8" xfId="3" applyFont="1" applyFill="1" applyBorder="1" applyAlignment="1">
      <alignment horizontal="center" vertical="center"/>
    </xf>
    <xf numFmtId="0" fontId="26" fillId="0" borderId="23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right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8" fillId="2" borderId="30" xfId="0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right" vertical="center"/>
    </xf>
    <xf numFmtId="9" fontId="14" fillId="2" borderId="20" xfId="0" applyNumberFormat="1" applyFont="1" applyFill="1" applyBorder="1" applyAlignment="1">
      <alignment horizontal="center" vertical="center" wrapText="1"/>
    </xf>
    <xf numFmtId="9" fontId="17" fillId="2" borderId="22" xfId="0" applyNumberFormat="1" applyFont="1" applyFill="1" applyBorder="1" applyAlignment="1">
      <alignment horizontal="center" vertical="center" wrapText="1"/>
    </xf>
    <xf numFmtId="9" fontId="17" fillId="2" borderId="2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</cellXfs>
  <cellStyles count="11">
    <cellStyle name="Comma 2" xf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9"/>
    <cellStyle name="Normal 8" xfId="7"/>
    <cellStyle name="Normal 9" xfId="1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BDO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0 -1"/>
      <sheetName val="BD0 -2"/>
      <sheetName val="BDO-3 "/>
      <sheetName val="BDO-4"/>
      <sheetName val="BDO-5"/>
      <sheetName val="Sheet1"/>
    </sheetNames>
    <sheetDataSet>
      <sheetData sheetId="0"/>
      <sheetData sheetId="1"/>
      <sheetData sheetId="2">
        <row r="21">
          <cell r="M21">
            <v>687900</v>
          </cell>
        </row>
      </sheetData>
      <sheetData sheetId="3">
        <row r="21">
          <cell r="P21">
            <v>491544</v>
          </cell>
        </row>
        <row r="22">
          <cell r="O22">
            <v>550968</v>
          </cell>
        </row>
        <row r="23">
          <cell r="O23">
            <v>471740</v>
          </cell>
        </row>
        <row r="48">
          <cell r="P48">
            <v>645528</v>
          </cell>
        </row>
        <row r="49">
          <cell r="O49">
            <v>369564</v>
          </cell>
        </row>
        <row r="50">
          <cell r="O50">
            <v>305836</v>
          </cell>
        </row>
        <row r="68">
          <cell r="O68">
            <v>846516</v>
          </cell>
        </row>
        <row r="75">
          <cell r="O75">
            <v>470952</v>
          </cell>
        </row>
        <row r="76">
          <cell r="O76">
            <v>530340</v>
          </cell>
        </row>
        <row r="100">
          <cell r="O100">
            <v>1035840</v>
          </cell>
        </row>
        <row r="101">
          <cell r="O101">
            <v>369564</v>
          </cell>
        </row>
        <row r="102">
          <cell r="O102">
            <v>369564</v>
          </cell>
        </row>
        <row r="103">
          <cell r="O103">
            <v>369564</v>
          </cell>
        </row>
        <row r="105">
          <cell r="O105">
            <v>494580</v>
          </cell>
        </row>
        <row r="106">
          <cell r="O106">
            <v>542244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43"/>
  <sheetViews>
    <sheetView tabSelected="1" view="pageBreakPreview" topLeftCell="A4" zoomScale="85" zoomScaleNormal="82" zoomScaleSheetLayoutView="85" workbookViewId="0">
      <pane xSplit="3" ySplit="8" topLeftCell="D57" activePane="bottomRight" state="frozen"/>
      <selection activeCell="A4" sqref="A4"/>
      <selection pane="topRight" activeCell="D4" sqref="D4"/>
      <selection pane="bottomLeft" activeCell="A12" sqref="A12"/>
      <selection pane="bottomRight" activeCell="R143" sqref="R143"/>
    </sheetView>
  </sheetViews>
  <sheetFormatPr defaultRowHeight="20.100000000000001" customHeight="1"/>
  <cols>
    <col min="1" max="1" width="6.140625" customWidth="1"/>
    <col min="2" max="2" width="8.42578125" customWidth="1"/>
    <col min="3" max="3" width="23" customWidth="1"/>
    <col min="4" max="5" width="6.7109375" customWidth="1"/>
    <col min="6" max="6" width="7.85546875" customWidth="1"/>
    <col min="7" max="8" width="6.7109375" customWidth="1"/>
    <col min="9" max="9" width="7.85546875" customWidth="1"/>
    <col min="10" max="11" width="6.7109375" customWidth="1"/>
    <col min="12" max="12" width="7.85546875" customWidth="1"/>
    <col min="13" max="14" width="6.7109375" customWidth="1"/>
    <col min="15" max="15" width="7.85546875" customWidth="1"/>
    <col min="16" max="17" width="6.7109375" customWidth="1"/>
    <col min="18" max="18" width="7.85546875" customWidth="1"/>
  </cols>
  <sheetData>
    <row r="1" spans="1:18" ht="12.75" customHeight="1" thickBot="1"/>
    <row r="2" spans="1:18" ht="19.5" customHeight="1">
      <c r="A2" s="238" t="s">
        <v>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40"/>
    </row>
    <row r="3" spans="1:18" ht="26.25" customHeight="1">
      <c r="A3" s="241" t="s">
        <v>239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</row>
    <row r="4" spans="1:18" ht="20.25" customHeight="1">
      <c r="A4" s="244" t="s">
        <v>111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</row>
    <row r="5" spans="1:18" ht="25.5" customHeight="1">
      <c r="A5" s="256" t="s">
        <v>112</v>
      </c>
      <c r="B5" s="257"/>
      <c r="C5" s="257"/>
      <c r="D5" s="257"/>
      <c r="E5" s="257" t="s">
        <v>178</v>
      </c>
      <c r="F5" s="257"/>
      <c r="G5" s="257"/>
      <c r="H5" s="257"/>
      <c r="I5" s="257"/>
      <c r="J5" s="257"/>
      <c r="K5" s="123" t="s">
        <v>113</v>
      </c>
      <c r="L5" s="122"/>
      <c r="M5" s="272" t="s">
        <v>179</v>
      </c>
      <c r="N5" s="272"/>
      <c r="O5" s="272"/>
      <c r="P5" s="272"/>
      <c r="Q5" s="272"/>
      <c r="R5" s="273"/>
    </row>
    <row r="6" spans="1:18" ht="20.100000000000001" customHeight="1">
      <c r="A6" s="126" t="s">
        <v>114</v>
      </c>
      <c r="B6" s="124"/>
      <c r="C6" s="124"/>
      <c r="D6" s="124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5"/>
    </row>
    <row r="7" spans="1:18" ht="20.100000000000001" customHeight="1">
      <c r="A7" s="127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5"/>
    </row>
    <row r="8" spans="1:18" ht="21" customHeight="1" thickBot="1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6"/>
    </row>
    <row r="9" spans="1:18" ht="27" customHeight="1">
      <c r="A9" s="267" t="s">
        <v>69</v>
      </c>
      <c r="B9" s="253" t="s">
        <v>2</v>
      </c>
      <c r="C9" s="253" t="s">
        <v>3</v>
      </c>
      <c r="D9" s="247" t="s">
        <v>4</v>
      </c>
      <c r="E9" s="248"/>
      <c r="F9" s="249"/>
      <c r="G9" s="247" t="s">
        <v>5</v>
      </c>
      <c r="H9" s="248"/>
      <c r="I9" s="249"/>
      <c r="J9" s="247" t="s">
        <v>6</v>
      </c>
      <c r="K9" s="248"/>
      <c r="L9" s="249"/>
      <c r="M9" s="258" t="s">
        <v>115</v>
      </c>
      <c r="N9" s="259"/>
      <c r="O9" s="260"/>
      <c r="P9" s="258" t="s">
        <v>116</v>
      </c>
      <c r="Q9" s="259"/>
      <c r="R9" s="260"/>
    </row>
    <row r="10" spans="1:18" ht="31.5" customHeight="1" thickBot="1">
      <c r="A10" s="268"/>
      <c r="B10" s="254"/>
      <c r="C10" s="270"/>
      <c r="D10" s="250"/>
      <c r="E10" s="251"/>
      <c r="F10" s="252"/>
      <c r="G10" s="250"/>
      <c r="H10" s="251"/>
      <c r="I10" s="252"/>
      <c r="J10" s="250"/>
      <c r="K10" s="251"/>
      <c r="L10" s="252"/>
      <c r="M10" s="261"/>
      <c r="N10" s="262"/>
      <c r="O10" s="263"/>
      <c r="P10" s="261"/>
      <c r="Q10" s="262"/>
      <c r="R10" s="263"/>
    </row>
    <row r="11" spans="1:18" ht="19.5" customHeight="1" thickBot="1">
      <c r="A11" s="269"/>
      <c r="B11" s="255"/>
      <c r="C11" s="271"/>
      <c r="D11" s="77" t="s">
        <v>7</v>
      </c>
      <c r="E11" s="77" t="s">
        <v>8</v>
      </c>
      <c r="F11" s="77" t="s">
        <v>1</v>
      </c>
      <c r="G11" s="77" t="s">
        <v>7</v>
      </c>
      <c r="H11" s="77" t="s">
        <v>8</v>
      </c>
      <c r="I11" s="77" t="s">
        <v>1</v>
      </c>
      <c r="J11" s="77" t="s">
        <v>7</v>
      </c>
      <c r="K11" s="77" t="s">
        <v>8</v>
      </c>
      <c r="L11" s="77" t="s">
        <v>1</v>
      </c>
      <c r="M11" s="77" t="s">
        <v>7</v>
      </c>
      <c r="N11" s="77" t="s">
        <v>8</v>
      </c>
      <c r="O11" s="77" t="s">
        <v>1</v>
      </c>
      <c r="P11" s="77" t="s">
        <v>7</v>
      </c>
      <c r="Q11" s="77" t="s">
        <v>8</v>
      </c>
      <c r="R11" s="77" t="s">
        <v>1</v>
      </c>
    </row>
    <row r="12" spans="1:18" ht="24" customHeight="1">
      <c r="A12" s="223" t="s">
        <v>127</v>
      </c>
      <c r="B12" s="224"/>
      <c r="C12" s="224"/>
      <c r="D12" s="4"/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02"/>
    </row>
    <row r="13" spans="1:18" ht="27.75" customHeight="1">
      <c r="A13" s="111">
        <v>1</v>
      </c>
      <c r="B13" s="163" t="s">
        <v>45</v>
      </c>
      <c r="C13" s="161" t="s">
        <v>204</v>
      </c>
      <c r="D13" s="164">
        <v>1</v>
      </c>
      <c r="E13" s="19">
        <v>0</v>
      </c>
      <c r="F13" s="19">
        <f>SUM(D13:E13)</f>
        <v>1</v>
      </c>
      <c r="G13" s="19">
        <v>1</v>
      </c>
      <c r="H13" s="19">
        <v>0</v>
      </c>
      <c r="I13" s="19">
        <f>G13+H13</f>
        <v>1</v>
      </c>
      <c r="J13" s="19">
        <v>0</v>
      </c>
      <c r="K13" s="19">
        <v>0</v>
      </c>
      <c r="L13" s="19">
        <f>J13</f>
        <v>0</v>
      </c>
      <c r="M13" s="19">
        <v>0</v>
      </c>
      <c r="N13" s="19">
        <v>0</v>
      </c>
      <c r="O13" s="19">
        <v>0</v>
      </c>
      <c r="P13" s="20">
        <f t="shared" ref="P13:P14" si="0">SUM(I13,L13)</f>
        <v>1</v>
      </c>
      <c r="Q13" s="19"/>
      <c r="R13" s="19">
        <f>SUM(P13:Q13)</f>
        <v>1</v>
      </c>
    </row>
    <row r="14" spans="1:18" ht="24" customHeight="1">
      <c r="A14" s="111">
        <v>2</v>
      </c>
      <c r="B14" s="164" t="s">
        <v>180</v>
      </c>
      <c r="C14" s="162" t="s">
        <v>11</v>
      </c>
      <c r="D14" s="164">
        <v>1</v>
      </c>
      <c r="E14" s="19">
        <v>0</v>
      </c>
      <c r="F14" s="19">
        <f t="shared" ref="F14" si="1">SUM(D14:E14)</f>
        <v>1</v>
      </c>
      <c r="G14" s="19">
        <v>1</v>
      </c>
      <c r="H14" s="19">
        <v>0</v>
      </c>
      <c r="I14" s="19">
        <f t="shared" ref="I14" si="2">G14+H14</f>
        <v>1</v>
      </c>
      <c r="J14" s="19">
        <v>0</v>
      </c>
      <c r="K14" s="19">
        <v>0</v>
      </c>
      <c r="L14" s="19">
        <f t="shared" ref="L14" si="3">J14</f>
        <v>0</v>
      </c>
      <c r="M14" s="19">
        <v>0</v>
      </c>
      <c r="N14" s="19">
        <v>0</v>
      </c>
      <c r="O14" s="19">
        <v>0</v>
      </c>
      <c r="P14" s="20">
        <f t="shared" si="0"/>
        <v>1</v>
      </c>
      <c r="Q14" s="19"/>
      <c r="R14" s="19">
        <f t="shared" ref="R14:R16" si="4">SUM(P14:Q14)</f>
        <v>1</v>
      </c>
    </row>
    <row r="15" spans="1:18" ht="34.5" customHeight="1">
      <c r="A15" s="111">
        <v>3</v>
      </c>
      <c r="B15" s="164">
        <v>5</v>
      </c>
      <c r="C15" s="162" t="s">
        <v>128</v>
      </c>
      <c r="D15" s="164">
        <v>1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19">
        <v>1</v>
      </c>
      <c r="K15" s="19">
        <v>0</v>
      </c>
      <c r="L15" s="19">
        <v>1</v>
      </c>
      <c r="M15" s="19">
        <v>1</v>
      </c>
      <c r="N15" s="19">
        <v>0</v>
      </c>
      <c r="O15" s="19">
        <v>1</v>
      </c>
      <c r="P15" s="20">
        <v>1</v>
      </c>
      <c r="Q15" s="19"/>
      <c r="R15" s="19">
        <f t="shared" ref="R15" si="5">SUM(P15:Q15)</f>
        <v>1</v>
      </c>
    </row>
    <row r="16" spans="1:18" ht="24.75" customHeight="1">
      <c r="A16" s="111">
        <v>4</v>
      </c>
      <c r="B16" s="164">
        <v>4</v>
      </c>
      <c r="C16" s="162" t="s">
        <v>12</v>
      </c>
      <c r="D16" s="164">
        <v>1</v>
      </c>
      <c r="E16" s="19">
        <v>0</v>
      </c>
      <c r="F16" s="19">
        <f t="shared" ref="F16" si="6">SUM(D16:E16)</f>
        <v>1</v>
      </c>
      <c r="G16" s="19">
        <v>1</v>
      </c>
      <c r="H16" s="19">
        <v>0</v>
      </c>
      <c r="I16" s="19">
        <f t="shared" ref="I16" si="7">G16+H16</f>
        <v>1</v>
      </c>
      <c r="J16" s="19">
        <v>0</v>
      </c>
      <c r="K16" s="19">
        <v>0</v>
      </c>
      <c r="L16" s="19">
        <f t="shared" ref="L16" si="8">J16</f>
        <v>0</v>
      </c>
      <c r="M16" s="19">
        <v>0</v>
      </c>
      <c r="N16" s="19">
        <v>0</v>
      </c>
      <c r="O16" s="19">
        <v>0</v>
      </c>
      <c r="P16" s="20">
        <f t="shared" ref="P16" si="9">SUM(I16,L16)</f>
        <v>1</v>
      </c>
      <c r="Q16" s="19"/>
      <c r="R16" s="19">
        <f t="shared" si="4"/>
        <v>1</v>
      </c>
    </row>
    <row r="17" spans="1:18" ht="23.1" customHeight="1" thickBot="1">
      <c r="A17" s="113"/>
      <c r="B17" s="172" t="s">
        <v>14</v>
      </c>
      <c r="C17" s="172"/>
      <c r="D17" s="101">
        <f t="shared" ref="D17:R17" si="10">SUM(D13:D16)</f>
        <v>4</v>
      </c>
      <c r="E17" s="101">
        <f t="shared" si="10"/>
        <v>0</v>
      </c>
      <c r="F17" s="101">
        <f t="shared" si="10"/>
        <v>4</v>
      </c>
      <c r="G17" s="101">
        <f t="shared" si="10"/>
        <v>3</v>
      </c>
      <c r="H17" s="101">
        <f t="shared" si="10"/>
        <v>0</v>
      </c>
      <c r="I17" s="101">
        <f t="shared" si="10"/>
        <v>3</v>
      </c>
      <c r="J17" s="101">
        <f t="shared" si="10"/>
        <v>1</v>
      </c>
      <c r="K17" s="101">
        <f t="shared" si="10"/>
        <v>0</v>
      </c>
      <c r="L17" s="101">
        <f t="shared" si="10"/>
        <v>1</v>
      </c>
      <c r="M17" s="101">
        <f t="shared" si="10"/>
        <v>1</v>
      </c>
      <c r="N17" s="101">
        <f t="shared" si="10"/>
        <v>0</v>
      </c>
      <c r="O17" s="101">
        <f t="shared" si="10"/>
        <v>1</v>
      </c>
      <c r="P17" s="101">
        <f t="shared" si="10"/>
        <v>4</v>
      </c>
      <c r="Q17" s="101">
        <f t="shared" si="10"/>
        <v>0</v>
      </c>
      <c r="R17" s="101">
        <f t="shared" si="10"/>
        <v>4</v>
      </c>
    </row>
    <row r="18" spans="1:18" ht="24" customHeight="1">
      <c r="A18" s="223" t="s">
        <v>129</v>
      </c>
      <c r="B18" s="224"/>
      <c r="C18" s="224"/>
      <c r="D18" s="4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02"/>
    </row>
    <row r="19" spans="1:18" ht="27.75" customHeight="1">
      <c r="A19" s="111">
        <v>5</v>
      </c>
      <c r="B19" s="163" t="s">
        <v>45</v>
      </c>
      <c r="C19" s="161" t="s">
        <v>129</v>
      </c>
      <c r="D19" s="164">
        <v>1</v>
      </c>
      <c r="E19" s="19">
        <v>0</v>
      </c>
      <c r="F19" s="19">
        <f>SUM(D19:E19)</f>
        <v>1</v>
      </c>
      <c r="G19" s="19">
        <v>0</v>
      </c>
      <c r="H19" s="19">
        <v>0</v>
      </c>
      <c r="I19" s="19">
        <f>G19+H19</f>
        <v>0</v>
      </c>
      <c r="J19" s="19">
        <v>1</v>
      </c>
      <c r="K19" s="19">
        <v>0</v>
      </c>
      <c r="L19" s="19">
        <f>J19</f>
        <v>1</v>
      </c>
      <c r="M19" s="19">
        <v>1</v>
      </c>
      <c r="N19" s="19">
        <v>0</v>
      </c>
      <c r="O19" s="19">
        <v>1</v>
      </c>
      <c r="P19" s="20">
        <f t="shared" ref="P19" si="11">SUM(I19,L19)</f>
        <v>1</v>
      </c>
      <c r="Q19" s="19"/>
      <c r="R19" s="19">
        <f>SUM(P19:Q19)</f>
        <v>1</v>
      </c>
    </row>
    <row r="20" spans="1:18" ht="23.1" customHeight="1">
      <c r="A20" s="113"/>
      <c r="B20" s="172" t="s">
        <v>14</v>
      </c>
      <c r="C20" s="172"/>
      <c r="D20" s="101">
        <f>SUM(D19)</f>
        <v>1</v>
      </c>
      <c r="E20" s="101">
        <f t="shared" ref="E20:R20" si="12">SUM(E19)</f>
        <v>0</v>
      </c>
      <c r="F20" s="101">
        <f t="shared" si="12"/>
        <v>1</v>
      </c>
      <c r="G20" s="101">
        <f t="shared" si="12"/>
        <v>0</v>
      </c>
      <c r="H20" s="101">
        <f t="shared" si="12"/>
        <v>0</v>
      </c>
      <c r="I20" s="101">
        <f t="shared" si="12"/>
        <v>0</v>
      </c>
      <c r="J20" s="101">
        <f t="shared" si="12"/>
        <v>1</v>
      </c>
      <c r="K20" s="101">
        <f t="shared" si="12"/>
        <v>0</v>
      </c>
      <c r="L20" s="101">
        <f t="shared" si="12"/>
        <v>1</v>
      </c>
      <c r="M20" s="101">
        <f t="shared" si="12"/>
        <v>1</v>
      </c>
      <c r="N20" s="101">
        <f t="shared" si="12"/>
        <v>0</v>
      </c>
      <c r="O20" s="101">
        <f t="shared" si="12"/>
        <v>1</v>
      </c>
      <c r="P20" s="101">
        <f t="shared" si="12"/>
        <v>1</v>
      </c>
      <c r="Q20" s="101">
        <f t="shared" si="12"/>
        <v>0</v>
      </c>
      <c r="R20" s="101">
        <f t="shared" si="12"/>
        <v>1</v>
      </c>
    </row>
    <row r="21" spans="1:18" ht="24" customHeight="1">
      <c r="A21" s="235" t="s">
        <v>105</v>
      </c>
      <c r="B21" s="236"/>
      <c r="C21" s="237"/>
      <c r="D21" s="11"/>
      <c r="E21" s="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24.75" customHeight="1">
      <c r="A22" s="114">
        <v>6</v>
      </c>
      <c r="B22" s="163">
        <v>17</v>
      </c>
      <c r="C22" s="161" t="s">
        <v>130</v>
      </c>
      <c r="D22" s="164">
        <v>0</v>
      </c>
      <c r="E22" s="20">
        <v>1</v>
      </c>
      <c r="F22" s="20">
        <f>SUM(D22:E22)</f>
        <v>1</v>
      </c>
      <c r="G22" s="20">
        <v>0</v>
      </c>
      <c r="H22" s="20">
        <v>1</v>
      </c>
      <c r="I22" s="20">
        <f>SUM(G22:H22)</f>
        <v>1</v>
      </c>
      <c r="J22" s="20">
        <f>F22-I22</f>
        <v>0</v>
      </c>
      <c r="K22" s="20">
        <v>0</v>
      </c>
      <c r="L22" s="20">
        <f>J22</f>
        <v>0</v>
      </c>
      <c r="M22" s="20">
        <v>0</v>
      </c>
      <c r="N22" s="20">
        <v>0</v>
      </c>
      <c r="O22" s="20">
        <f>SUM(M22:N22)</f>
        <v>0</v>
      </c>
      <c r="P22" s="20">
        <v>0</v>
      </c>
      <c r="Q22" s="20">
        <v>1</v>
      </c>
      <c r="R22" s="20">
        <f>SUM(P22:Q22)</f>
        <v>1</v>
      </c>
    </row>
    <row r="23" spans="1:18" ht="24.75" customHeight="1">
      <c r="A23" s="114">
        <v>7</v>
      </c>
      <c r="B23" s="163">
        <v>17</v>
      </c>
      <c r="C23" s="161" t="s">
        <v>18</v>
      </c>
      <c r="D23" s="164">
        <v>1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1</v>
      </c>
      <c r="K23" s="20">
        <v>0</v>
      </c>
      <c r="L23" s="20">
        <v>1</v>
      </c>
      <c r="M23" s="20">
        <v>1</v>
      </c>
      <c r="N23" s="20">
        <v>0</v>
      </c>
      <c r="O23" s="20">
        <v>1</v>
      </c>
      <c r="P23" s="20">
        <v>1</v>
      </c>
      <c r="Q23" s="20">
        <v>0</v>
      </c>
      <c r="R23" s="20">
        <v>1</v>
      </c>
    </row>
    <row r="24" spans="1:18" ht="26.25" customHeight="1">
      <c r="A24" s="114">
        <v>8</v>
      </c>
      <c r="B24" s="164" t="s">
        <v>181</v>
      </c>
      <c r="C24" s="162" t="s">
        <v>95</v>
      </c>
      <c r="D24" s="164">
        <v>1</v>
      </c>
      <c r="E24" s="20">
        <v>0</v>
      </c>
      <c r="F24" s="20">
        <f t="shared" ref="F24:F41" si="13">SUM(D24:E24)</f>
        <v>1</v>
      </c>
      <c r="G24" s="20">
        <v>1</v>
      </c>
      <c r="H24" s="20">
        <v>0</v>
      </c>
      <c r="I24" s="20">
        <f t="shared" ref="I24:I41" si="14">SUM(G24:H24)</f>
        <v>1</v>
      </c>
      <c r="J24" s="20">
        <f t="shared" ref="J24:J41" si="15">F24-I24</f>
        <v>0</v>
      </c>
      <c r="K24" s="20">
        <v>0</v>
      </c>
      <c r="L24" s="20">
        <f t="shared" ref="L24:L41" si="16">J24</f>
        <v>0</v>
      </c>
      <c r="M24" s="20">
        <v>0</v>
      </c>
      <c r="N24" s="20">
        <v>0</v>
      </c>
      <c r="O24" s="20">
        <f t="shared" ref="O24:O35" si="17">SUM(M24:N24)</f>
        <v>0</v>
      </c>
      <c r="P24" s="20">
        <f t="shared" ref="P24:P41" si="18">SUM(I24,L24)</f>
        <v>1</v>
      </c>
      <c r="Q24" s="20"/>
      <c r="R24" s="20">
        <f t="shared" ref="R24:R41" si="19">SUM(P24:Q24)</f>
        <v>1</v>
      </c>
    </row>
    <row r="25" spans="1:18" ht="20.100000000000001" customHeight="1">
      <c r="A25" s="114">
        <v>9</v>
      </c>
      <c r="B25" s="164">
        <v>14</v>
      </c>
      <c r="C25" s="162" t="s">
        <v>16</v>
      </c>
      <c r="D25" s="164">
        <v>1</v>
      </c>
      <c r="E25" s="20">
        <v>0</v>
      </c>
      <c r="F25" s="20">
        <f t="shared" si="13"/>
        <v>1</v>
      </c>
      <c r="G25" s="20">
        <v>0</v>
      </c>
      <c r="H25" s="20">
        <v>0</v>
      </c>
      <c r="I25" s="20">
        <f t="shared" si="14"/>
        <v>0</v>
      </c>
      <c r="J25" s="20">
        <f t="shared" si="15"/>
        <v>1</v>
      </c>
      <c r="K25" s="20">
        <v>0</v>
      </c>
      <c r="L25" s="20">
        <f t="shared" si="16"/>
        <v>1</v>
      </c>
      <c r="M25" s="20">
        <v>1</v>
      </c>
      <c r="N25" s="20">
        <v>0</v>
      </c>
      <c r="O25" s="20">
        <f t="shared" si="17"/>
        <v>1</v>
      </c>
      <c r="P25" s="20">
        <f t="shared" si="18"/>
        <v>1</v>
      </c>
      <c r="Q25" s="20"/>
      <c r="R25" s="20">
        <f t="shared" si="19"/>
        <v>1</v>
      </c>
    </row>
    <row r="26" spans="1:18" ht="27.75" customHeight="1">
      <c r="A26" s="114">
        <v>10</v>
      </c>
      <c r="B26" s="165">
        <v>13</v>
      </c>
      <c r="C26" s="162" t="s">
        <v>10</v>
      </c>
      <c r="D26" s="165">
        <v>1</v>
      </c>
      <c r="E26" s="20">
        <v>0</v>
      </c>
      <c r="F26" s="20">
        <f t="shared" si="13"/>
        <v>1</v>
      </c>
      <c r="G26" s="20">
        <v>1</v>
      </c>
      <c r="H26" s="20">
        <v>0</v>
      </c>
      <c r="I26" s="20">
        <f t="shared" si="14"/>
        <v>1</v>
      </c>
      <c r="J26" s="20">
        <f t="shared" si="15"/>
        <v>0</v>
      </c>
      <c r="K26" s="20">
        <v>0</v>
      </c>
      <c r="L26" s="20">
        <f t="shared" si="16"/>
        <v>0</v>
      </c>
      <c r="M26" s="20">
        <v>0</v>
      </c>
      <c r="N26" s="20">
        <v>0</v>
      </c>
      <c r="O26" s="20">
        <f t="shared" si="17"/>
        <v>0</v>
      </c>
      <c r="P26" s="20">
        <f t="shared" si="18"/>
        <v>1</v>
      </c>
      <c r="Q26" s="20"/>
      <c r="R26" s="20">
        <f t="shared" si="19"/>
        <v>1</v>
      </c>
    </row>
    <row r="27" spans="1:18" ht="20.100000000000001" customHeight="1">
      <c r="A27" s="114">
        <v>11</v>
      </c>
      <c r="B27" s="165">
        <v>13</v>
      </c>
      <c r="C27" s="162" t="s">
        <v>99</v>
      </c>
      <c r="D27" s="166">
        <v>1</v>
      </c>
      <c r="E27" s="20">
        <v>0</v>
      </c>
      <c r="F27" s="20">
        <f t="shared" si="13"/>
        <v>1</v>
      </c>
      <c r="G27" s="20">
        <v>1</v>
      </c>
      <c r="H27" s="20">
        <v>0</v>
      </c>
      <c r="I27" s="20">
        <f t="shared" si="14"/>
        <v>1</v>
      </c>
      <c r="J27" s="20">
        <f t="shared" si="15"/>
        <v>0</v>
      </c>
      <c r="K27" s="20">
        <v>0</v>
      </c>
      <c r="L27" s="20">
        <f t="shared" si="16"/>
        <v>0</v>
      </c>
      <c r="M27" s="20">
        <v>0</v>
      </c>
      <c r="N27" s="20">
        <v>0</v>
      </c>
      <c r="O27" s="20">
        <f t="shared" si="17"/>
        <v>0</v>
      </c>
      <c r="P27" s="20">
        <f t="shared" si="18"/>
        <v>1</v>
      </c>
      <c r="Q27" s="20"/>
      <c r="R27" s="20">
        <f t="shared" si="19"/>
        <v>1</v>
      </c>
    </row>
    <row r="28" spans="1:18" ht="20.100000000000001" customHeight="1">
      <c r="A28" s="114">
        <v>12</v>
      </c>
      <c r="B28" s="165">
        <v>11</v>
      </c>
      <c r="C28" s="162" t="s">
        <v>185</v>
      </c>
      <c r="D28" s="166">
        <v>2</v>
      </c>
      <c r="E28" s="20">
        <v>0</v>
      </c>
      <c r="F28" s="20">
        <v>2</v>
      </c>
      <c r="G28" s="20">
        <v>2</v>
      </c>
      <c r="H28" s="20">
        <v>0</v>
      </c>
      <c r="I28" s="20">
        <f t="shared" si="14"/>
        <v>2</v>
      </c>
      <c r="J28" s="20">
        <v>0</v>
      </c>
      <c r="K28" s="20">
        <v>0</v>
      </c>
      <c r="L28" s="20">
        <f t="shared" si="16"/>
        <v>0</v>
      </c>
      <c r="M28" s="20">
        <v>0</v>
      </c>
      <c r="N28" s="20">
        <v>0</v>
      </c>
      <c r="O28" s="20">
        <f t="shared" si="17"/>
        <v>0</v>
      </c>
      <c r="P28" s="20">
        <f t="shared" si="18"/>
        <v>2</v>
      </c>
      <c r="Q28" s="20"/>
      <c r="R28" s="20">
        <f t="shared" si="19"/>
        <v>2</v>
      </c>
    </row>
    <row r="29" spans="1:18" ht="20.100000000000001" customHeight="1">
      <c r="A29" s="114">
        <v>13</v>
      </c>
      <c r="B29" s="166">
        <v>11</v>
      </c>
      <c r="C29" s="162" t="s">
        <v>11</v>
      </c>
      <c r="D29" s="166">
        <v>2</v>
      </c>
      <c r="E29" s="20">
        <v>0</v>
      </c>
      <c r="F29" s="20">
        <f>SUM(D29:E29)</f>
        <v>2</v>
      </c>
      <c r="G29" s="20">
        <v>2</v>
      </c>
      <c r="H29" s="20">
        <v>0</v>
      </c>
      <c r="I29" s="20">
        <f t="shared" si="14"/>
        <v>2</v>
      </c>
      <c r="J29" s="20">
        <f t="shared" si="15"/>
        <v>0</v>
      </c>
      <c r="K29" s="20">
        <v>0</v>
      </c>
      <c r="L29" s="20">
        <f t="shared" si="16"/>
        <v>0</v>
      </c>
      <c r="M29" s="20">
        <v>0</v>
      </c>
      <c r="N29" s="20">
        <v>0</v>
      </c>
      <c r="O29" s="20">
        <f t="shared" si="17"/>
        <v>0</v>
      </c>
      <c r="P29" s="20">
        <f t="shared" si="18"/>
        <v>2</v>
      </c>
      <c r="Q29" s="20"/>
      <c r="R29" s="20">
        <f t="shared" si="19"/>
        <v>2</v>
      </c>
    </row>
    <row r="30" spans="1:18" ht="20.100000000000001" customHeight="1">
      <c r="A30" s="114">
        <v>14</v>
      </c>
      <c r="B30" s="166">
        <v>11</v>
      </c>
      <c r="C30" s="162" t="s">
        <v>138</v>
      </c>
      <c r="D30" s="166">
        <v>1</v>
      </c>
      <c r="E30" s="20">
        <v>0</v>
      </c>
      <c r="F30" s="20">
        <v>1</v>
      </c>
      <c r="G30" s="20">
        <v>0</v>
      </c>
      <c r="H30" s="20">
        <v>0</v>
      </c>
      <c r="I30" s="20">
        <v>0</v>
      </c>
      <c r="J30" s="20">
        <v>1</v>
      </c>
      <c r="K30" s="20">
        <v>0</v>
      </c>
      <c r="L30" s="20">
        <v>1</v>
      </c>
      <c r="M30" s="20">
        <v>1</v>
      </c>
      <c r="N30" s="20">
        <v>0</v>
      </c>
      <c r="O30" s="20">
        <v>1</v>
      </c>
      <c r="P30" s="20">
        <v>1</v>
      </c>
      <c r="Q30" s="20"/>
      <c r="R30" s="20">
        <v>1</v>
      </c>
    </row>
    <row r="31" spans="1:18" ht="20.100000000000001" customHeight="1">
      <c r="A31" s="114">
        <v>15</v>
      </c>
      <c r="B31" s="164" t="s">
        <v>180</v>
      </c>
      <c r="C31" s="162" t="s">
        <v>97</v>
      </c>
      <c r="D31" s="166">
        <v>1</v>
      </c>
      <c r="E31" s="20">
        <v>0</v>
      </c>
      <c r="F31" s="20">
        <f t="shared" si="13"/>
        <v>1</v>
      </c>
      <c r="G31" s="20">
        <v>1</v>
      </c>
      <c r="H31" s="20">
        <v>0</v>
      </c>
      <c r="I31" s="20">
        <f t="shared" si="14"/>
        <v>1</v>
      </c>
      <c r="J31" s="20">
        <f t="shared" si="15"/>
        <v>0</v>
      </c>
      <c r="K31" s="20">
        <v>0</v>
      </c>
      <c r="L31" s="20">
        <f t="shared" si="16"/>
        <v>0</v>
      </c>
      <c r="M31" s="20">
        <v>0</v>
      </c>
      <c r="N31" s="20">
        <v>0</v>
      </c>
      <c r="O31" s="20">
        <f t="shared" si="17"/>
        <v>0</v>
      </c>
      <c r="P31" s="20">
        <f t="shared" si="18"/>
        <v>1</v>
      </c>
      <c r="Q31" s="20"/>
      <c r="R31" s="20">
        <f t="shared" si="19"/>
        <v>1</v>
      </c>
    </row>
    <row r="32" spans="1:18" ht="20.100000000000001" customHeight="1">
      <c r="A32" s="114">
        <v>16</v>
      </c>
      <c r="B32" s="164">
        <v>11</v>
      </c>
      <c r="C32" s="162" t="s">
        <v>11</v>
      </c>
      <c r="D32" s="166">
        <v>1</v>
      </c>
      <c r="E32" s="20">
        <v>0</v>
      </c>
      <c r="F32" s="20">
        <v>1</v>
      </c>
      <c r="G32" s="20">
        <v>1</v>
      </c>
      <c r="H32" s="20">
        <v>0</v>
      </c>
      <c r="I32" s="20">
        <v>1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20">
        <v>1</v>
      </c>
    </row>
    <row r="33" spans="1:18" ht="34.5" customHeight="1">
      <c r="A33" s="111">
        <v>17</v>
      </c>
      <c r="B33" s="164">
        <v>5</v>
      </c>
      <c r="C33" s="162" t="s">
        <v>205</v>
      </c>
      <c r="D33" s="164">
        <v>1</v>
      </c>
      <c r="E33" s="19">
        <v>0</v>
      </c>
      <c r="F33" s="19">
        <v>1</v>
      </c>
      <c r="G33" s="19">
        <v>1</v>
      </c>
      <c r="H33" s="19">
        <v>0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0">
        <v>1</v>
      </c>
      <c r="Q33" s="19"/>
      <c r="R33" s="19">
        <f>SUM(P33:Q33)</f>
        <v>1</v>
      </c>
    </row>
    <row r="34" spans="1:18" ht="20.100000000000001" customHeight="1">
      <c r="A34" s="114">
        <v>18</v>
      </c>
      <c r="B34" s="164">
        <v>11</v>
      </c>
      <c r="C34" s="162" t="s">
        <v>190</v>
      </c>
      <c r="D34" s="166">
        <v>0</v>
      </c>
      <c r="E34" s="20">
        <v>1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20">
        <v>1</v>
      </c>
      <c r="L34" s="20">
        <v>1</v>
      </c>
      <c r="M34" s="20">
        <v>0</v>
      </c>
      <c r="N34" s="20">
        <v>1</v>
      </c>
      <c r="O34" s="20">
        <v>1</v>
      </c>
      <c r="P34" s="20">
        <v>0</v>
      </c>
      <c r="Q34" s="20">
        <v>1</v>
      </c>
      <c r="R34" s="20">
        <v>1</v>
      </c>
    </row>
    <row r="35" spans="1:18" ht="20.100000000000001" customHeight="1">
      <c r="A35" s="114">
        <v>19</v>
      </c>
      <c r="B35" s="164" t="s">
        <v>182</v>
      </c>
      <c r="C35" s="162" t="s">
        <v>107</v>
      </c>
      <c r="D35" s="164">
        <v>1</v>
      </c>
      <c r="E35" s="20">
        <v>0</v>
      </c>
      <c r="F35" s="20">
        <f t="shared" si="13"/>
        <v>1</v>
      </c>
      <c r="G35" s="20">
        <v>1</v>
      </c>
      <c r="H35" s="20">
        <v>0</v>
      </c>
      <c r="I35" s="20">
        <f t="shared" si="14"/>
        <v>1</v>
      </c>
      <c r="J35" s="20">
        <f t="shared" si="15"/>
        <v>0</v>
      </c>
      <c r="K35" s="20">
        <v>0</v>
      </c>
      <c r="L35" s="20">
        <f t="shared" si="16"/>
        <v>0</v>
      </c>
      <c r="M35" s="20">
        <v>0</v>
      </c>
      <c r="N35" s="20">
        <v>0</v>
      </c>
      <c r="O35" s="20">
        <f t="shared" si="17"/>
        <v>0</v>
      </c>
      <c r="P35" s="20">
        <f t="shared" si="18"/>
        <v>1</v>
      </c>
      <c r="Q35" s="20"/>
      <c r="R35" s="20">
        <f t="shared" si="19"/>
        <v>1</v>
      </c>
    </row>
    <row r="36" spans="1:18" ht="20.100000000000001" customHeight="1">
      <c r="A36" s="114">
        <v>20</v>
      </c>
      <c r="B36" s="164">
        <v>5</v>
      </c>
      <c r="C36" s="162" t="s">
        <v>12</v>
      </c>
      <c r="D36" s="164">
        <v>1</v>
      </c>
      <c r="E36" s="20">
        <v>0</v>
      </c>
      <c r="F36" s="20">
        <f>SUM(D36:E36)</f>
        <v>1</v>
      </c>
      <c r="G36" s="20">
        <v>1</v>
      </c>
      <c r="H36" s="20">
        <v>0</v>
      </c>
      <c r="I36" s="20">
        <f>SUM(G36:H36)</f>
        <v>1</v>
      </c>
      <c r="J36" s="20">
        <f>F36-I36</f>
        <v>0</v>
      </c>
      <c r="K36" s="20">
        <v>0</v>
      </c>
      <c r="L36" s="20">
        <f>J36</f>
        <v>0</v>
      </c>
      <c r="M36" s="20">
        <v>0</v>
      </c>
      <c r="N36" s="20">
        <v>0</v>
      </c>
      <c r="O36" s="20">
        <v>0</v>
      </c>
      <c r="P36" s="20">
        <f>SUM(I36,L36)</f>
        <v>1</v>
      </c>
      <c r="Q36" s="20"/>
      <c r="R36" s="20">
        <f>SUM(P36:Q36)</f>
        <v>1</v>
      </c>
    </row>
    <row r="37" spans="1:18" ht="20.100000000000001" customHeight="1">
      <c r="A37" s="114">
        <v>21</v>
      </c>
      <c r="B37" s="164">
        <v>2</v>
      </c>
      <c r="C37" s="162" t="s">
        <v>98</v>
      </c>
      <c r="D37" s="164">
        <v>1</v>
      </c>
      <c r="E37" s="20">
        <v>0</v>
      </c>
      <c r="F37" s="20">
        <f t="shared" si="13"/>
        <v>1</v>
      </c>
      <c r="G37" s="20">
        <v>1</v>
      </c>
      <c r="H37" s="20">
        <v>0</v>
      </c>
      <c r="I37" s="20">
        <f t="shared" si="14"/>
        <v>1</v>
      </c>
      <c r="J37" s="20">
        <f t="shared" si="15"/>
        <v>0</v>
      </c>
      <c r="K37" s="20">
        <v>0</v>
      </c>
      <c r="L37" s="20">
        <f t="shared" si="16"/>
        <v>0</v>
      </c>
      <c r="M37" s="20">
        <v>0</v>
      </c>
      <c r="N37" s="20">
        <v>0</v>
      </c>
      <c r="O37" s="20">
        <v>0</v>
      </c>
      <c r="P37" s="20">
        <f t="shared" si="18"/>
        <v>1</v>
      </c>
      <c r="Q37" s="20"/>
      <c r="R37" s="20">
        <f t="shared" si="19"/>
        <v>1</v>
      </c>
    </row>
    <row r="38" spans="1:18" ht="21.75" customHeight="1">
      <c r="A38" s="114">
        <v>22</v>
      </c>
      <c r="B38" s="164">
        <v>4</v>
      </c>
      <c r="C38" s="162" t="s">
        <v>19</v>
      </c>
      <c r="D38" s="164">
        <v>1</v>
      </c>
      <c r="E38" s="20">
        <v>0</v>
      </c>
      <c r="F38" s="20">
        <f t="shared" si="13"/>
        <v>1</v>
      </c>
      <c r="G38" s="20">
        <v>1</v>
      </c>
      <c r="H38" s="20">
        <v>0</v>
      </c>
      <c r="I38" s="20">
        <f t="shared" si="14"/>
        <v>1</v>
      </c>
      <c r="J38" s="20">
        <v>0</v>
      </c>
      <c r="K38" s="20">
        <v>0</v>
      </c>
      <c r="L38" s="20">
        <f t="shared" si="16"/>
        <v>0</v>
      </c>
      <c r="M38" s="20">
        <v>0</v>
      </c>
      <c r="N38" s="20">
        <v>0</v>
      </c>
      <c r="O38" s="20">
        <v>0</v>
      </c>
      <c r="P38" s="20">
        <f t="shared" si="18"/>
        <v>1</v>
      </c>
      <c r="Q38" s="20"/>
      <c r="R38" s="20">
        <f t="shared" si="19"/>
        <v>1</v>
      </c>
    </row>
    <row r="39" spans="1:18" ht="24.75" customHeight="1">
      <c r="A39" s="114">
        <v>23</v>
      </c>
      <c r="B39" s="166">
        <v>1</v>
      </c>
      <c r="C39" s="162" t="s">
        <v>13</v>
      </c>
      <c r="D39" s="166">
        <v>3</v>
      </c>
      <c r="E39" s="20">
        <v>0</v>
      </c>
      <c r="F39" s="20">
        <f t="shared" si="13"/>
        <v>3</v>
      </c>
      <c r="G39" s="20">
        <v>3</v>
      </c>
      <c r="H39" s="20">
        <v>0</v>
      </c>
      <c r="I39" s="20">
        <f t="shared" si="14"/>
        <v>3</v>
      </c>
      <c r="J39" s="20">
        <f t="shared" si="15"/>
        <v>0</v>
      </c>
      <c r="K39" s="20">
        <v>0</v>
      </c>
      <c r="L39" s="20">
        <f t="shared" si="16"/>
        <v>0</v>
      </c>
      <c r="M39" s="20">
        <v>0</v>
      </c>
      <c r="N39" s="20">
        <v>0</v>
      </c>
      <c r="O39" s="20">
        <v>0</v>
      </c>
      <c r="P39" s="20">
        <f t="shared" si="18"/>
        <v>3</v>
      </c>
      <c r="Q39" s="20"/>
      <c r="R39" s="20">
        <f t="shared" si="19"/>
        <v>3</v>
      </c>
    </row>
    <row r="40" spans="1:18" ht="26.25" customHeight="1">
      <c r="A40" s="114">
        <v>24</v>
      </c>
      <c r="B40" s="164">
        <v>1</v>
      </c>
      <c r="C40" s="162" t="s">
        <v>108</v>
      </c>
      <c r="D40" s="166">
        <v>1</v>
      </c>
      <c r="E40" s="20">
        <v>0</v>
      </c>
      <c r="F40" s="20">
        <f>SUM(D40:E40)</f>
        <v>1</v>
      </c>
      <c r="G40" s="20">
        <v>0</v>
      </c>
      <c r="H40" s="20">
        <v>0</v>
      </c>
      <c r="I40" s="20">
        <f>SUM(G40:H40)</f>
        <v>0</v>
      </c>
      <c r="J40" s="20">
        <f>F40-I40</f>
        <v>1</v>
      </c>
      <c r="K40" s="20">
        <v>0</v>
      </c>
      <c r="L40" s="20">
        <f>J40</f>
        <v>1</v>
      </c>
      <c r="M40" s="20">
        <v>1</v>
      </c>
      <c r="N40" s="20">
        <v>0</v>
      </c>
      <c r="O40" s="20">
        <v>1</v>
      </c>
      <c r="P40" s="20">
        <f>SUM(I40,L40)</f>
        <v>1</v>
      </c>
      <c r="Q40" s="20"/>
      <c r="R40" s="20">
        <f>SUM(P40:Q40)</f>
        <v>1</v>
      </c>
    </row>
    <row r="41" spans="1:18" ht="20.100000000000001" customHeight="1">
      <c r="A41" s="114">
        <v>25</v>
      </c>
      <c r="B41" s="164" t="s">
        <v>45</v>
      </c>
      <c r="C41" s="162" t="s">
        <v>24</v>
      </c>
      <c r="D41" s="166">
        <v>1</v>
      </c>
      <c r="E41" s="20">
        <v>0</v>
      </c>
      <c r="F41" s="20">
        <f t="shared" si="13"/>
        <v>1</v>
      </c>
      <c r="G41" s="20">
        <v>1</v>
      </c>
      <c r="H41" s="20">
        <v>0</v>
      </c>
      <c r="I41" s="20">
        <f t="shared" si="14"/>
        <v>1</v>
      </c>
      <c r="J41" s="20">
        <f t="shared" si="15"/>
        <v>0</v>
      </c>
      <c r="K41" s="20">
        <v>0</v>
      </c>
      <c r="L41" s="20">
        <f t="shared" si="16"/>
        <v>0</v>
      </c>
      <c r="M41" s="20">
        <v>0</v>
      </c>
      <c r="N41" s="20">
        <v>0</v>
      </c>
      <c r="O41" s="20">
        <v>0</v>
      </c>
      <c r="P41" s="20">
        <f t="shared" si="18"/>
        <v>1</v>
      </c>
      <c r="Q41" s="20"/>
      <c r="R41" s="20">
        <f t="shared" si="19"/>
        <v>1</v>
      </c>
    </row>
    <row r="42" spans="1:18" ht="23.1" customHeight="1">
      <c r="A42" s="116"/>
      <c r="B42" s="231" t="s">
        <v>14</v>
      </c>
      <c r="C42" s="232"/>
      <c r="D42" s="23">
        <f t="shared" ref="D42:R42" si="20">SUM(D22:D41)</f>
        <v>22</v>
      </c>
      <c r="E42" s="23">
        <f t="shared" si="20"/>
        <v>2</v>
      </c>
      <c r="F42" s="23">
        <f t="shared" si="20"/>
        <v>24</v>
      </c>
      <c r="G42" s="23">
        <f t="shared" si="20"/>
        <v>18</v>
      </c>
      <c r="H42" s="23">
        <f t="shared" si="20"/>
        <v>1</v>
      </c>
      <c r="I42" s="23">
        <f t="shared" si="20"/>
        <v>19</v>
      </c>
      <c r="J42" s="23">
        <f t="shared" si="20"/>
        <v>4</v>
      </c>
      <c r="K42" s="23">
        <f t="shared" si="20"/>
        <v>1</v>
      </c>
      <c r="L42" s="23">
        <f t="shared" si="20"/>
        <v>5</v>
      </c>
      <c r="M42" s="23">
        <f t="shared" si="20"/>
        <v>4</v>
      </c>
      <c r="N42" s="23">
        <f t="shared" si="20"/>
        <v>1</v>
      </c>
      <c r="O42" s="23">
        <f t="shared" si="20"/>
        <v>5</v>
      </c>
      <c r="P42" s="23">
        <f t="shared" si="20"/>
        <v>22</v>
      </c>
      <c r="Q42" s="23">
        <f t="shared" si="20"/>
        <v>2</v>
      </c>
      <c r="R42" s="23">
        <f t="shared" si="20"/>
        <v>24</v>
      </c>
    </row>
    <row r="43" spans="1:18" ht="29.25" customHeight="1">
      <c r="A43" s="235" t="s">
        <v>186</v>
      </c>
      <c r="B43" s="236"/>
      <c r="C43" s="23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35.25" customHeight="1">
      <c r="A44" s="114">
        <v>26</v>
      </c>
      <c r="B44" s="163">
        <v>17</v>
      </c>
      <c r="C44" s="161" t="s">
        <v>186</v>
      </c>
      <c r="D44" s="164">
        <v>0</v>
      </c>
      <c r="E44" s="20">
        <v>1</v>
      </c>
      <c r="F44" s="20">
        <f>SUM(D44:E44)</f>
        <v>1</v>
      </c>
      <c r="G44" s="20">
        <v>0</v>
      </c>
      <c r="H44" s="20">
        <v>1</v>
      </c>
      <c r="I44" s="20">
        <f>SUM(G44:H44)</f>
        <v>1</v>
      </c>
      <c r="J44" s="20">
        <f>F44-I44</f>
        <v>0</v>
      </c>
      <c r="K44" s="20">
        <v>0</v>
      </c>
      <c r="L44" s="20">
        <f>J44</f>
        <v>0</v>
      </c>
      <c r="M44" s="20">
        <v>0</v>
      </c>
      <c r="N44" s="20">
        <v>0</v>
      </c>
      <c r="O44" s="20">
        <f>SUM(M44:N44)</f>
        <v>0</v>
      </c>
      <c r="P44" s="20">
        <v>0</v>
      </c>
      <c r="Q44" s="20">
        <v>1</v>
      </c>
      <c r="R44" s="20">
        <f>SUM(P44:Q44)</f>
        <v>1</v>
      </c>
    </row>
    <row r="45" spans="1:18" ht="24" customHeight="1">
      <c r="A45" s="114">
        <v>27</v>
      </c>
      <c r="B45" s="164">
        <v>16</v>
      </c>
      <c r="C45" s="162" t="s">
        <v>95</v>
      </c>
      <c r="D45" s="164">
        <v>1</v>
      </c>
      <c r="E45" s="20">
        <v>0</v>
      </c>
      <c r="F45" s="20">
        <f t="shared" ref="F45:F59" si="21">SUM(D45:E45)</f>
        <v>1</v>
      </c>
      <c r="G45" s="20">
        <v>0</v>
      </c>
      <c r="H45" s="20">
        <v>0</v>
      </c>
      <c r="I45" s="20">
        <f t="shared" ref="I45:I59" si="22">SUM(G45:H45)</f>
        <v>0</v>
      </c>
      <c r="J45" s="20">
        <f t="shared" ref="J45:J59" si="23">F45-I45</f>
        <v>1</v>
      </c>
      <c r="K45" s="20">
        <v>0</v>
      </c>
      <c r="L45" s="20">
        <f t="shared" ref="L45:L59" si="24">J45</f>
        <v>1</v>
      </c>
      <c r="M45" s="20">
        <v>1</v>
      </c>
      <c r="N45" s="20">
        <v>0</v>
      </c>
      <c r="O45" s="20">
        <f t="shared" ref="O45:O54" si="25">SUM(M45:N45)</f>
        <v>1</v>
      </c>
      <c r="P45" s="20">
        <f t="shared" ref="P45:P59" si="26">SUM(I45,L45)</f>
        <v>1</v>
      </c>
      <c r="Q45" s="20"/>
      <c r="R45" s="20">
        <f t="shared" ref="R45:R59" si="27">SUM(P45:Q45)</f>
        <v>1</v>
      </c>
    </row>
    <row r="46" spans="1:18" ht="24" customHeight="1">
      <c r="A46" s="114">
        <v>28</v>
      </c>
      <c r="B46" s="164">
        <v>15</v>
      </c>
      <c r="C46" s="162" t="s">
        <v>136</v>
      </c>
      <c r="D46" s="164">
        <v>1</v>
      </c>
      <c r="E46" s="20">
        <v>0</v>
      </c>
      <c r="F46" s="20">
        <v>1</v>
      </c>
      <c r="G46" s="20">
        <v>0</v>
      </c>
      <c r="H46" s="20">
        <v>0</v>
      </c>
      <c r="I46" s="20">
        <v>0</v>
      </c>
      <c r="J46" s="20">
        <v>1</v>
      </c>
      <c r="K46" s="20">
        <v>0</v>
      </c>
      <c r="L46" s="20">
        <v>1</v>
      </c>
      <c r="M46" s="20">
        <v>1</v>
      </c>
      <c r="N46" s="20">
        <v>0</v>
      </c>
      <c r="O46" s="20">
        <v>1</v>
      </c>
      <c r="P46" s="20">
        <v>1</v>
      </c>
      <c r="Q46" s="20">
        <v>0</v>
      </c>
      <c r="R46" s="20">
        <v>1</v>
      </c>
    </row>
    <row r="47" spans="1:18" ht="24" customHeight="1">
      <c r="A47" s="114">
        <v>29</v>
      </c>
      <c r="B47" s="164">
        <v>14</v>
      </c>
      <c r="C47" s="162" t="s">
        <v>22</v>
      </c>
      <c r="D47" s="164">
        <v>1</v>
      </c>
      <c r="E47" s="20">
        <v>0</v>
      </c>
      <c r="F47" s="20">
        <v>1</v>
      </c>
      <c r="G47" s="20">
        <v>0</v>
      </c>
      <c r="H47" s="20">
        <v>0</v>
      </c>
      <c r="I47" s="20">
        <v>0</v>
      </c>
      <c r="J47" s="20">
        <v>1</v>
      </c>
      <c r="K47" s="20">
        <v>0</v>
      </c>
      <c r="L47" s="20">
        <v>1</v>
      </c>
      <c r="M47" s="20">
        <v>1</v>
      </c>
      <c r="N47" s="20">
        <v>0</v>
      </c>
      <c r="O47" s="20">
        <v>1</v>
      </c>
      <c r="P47" s="20">
        <v>1</v>
      </c>
      <c r="Q47" s="20"/>
      <c r="R47" s="20">
        <v>1</v>
      </c>
    </row>
    <row r="48" spans="1:18" ht="18" customHeight="1">
      <c r="A48" s="114">
        <v>30</v>
      </c>
      <c r="B48" s="164">
        <v>15</v>
      </c>
      <c r="C48" s="162" t="s">
        <v>238</v>
      </c>
      <c r="D48" s="164">
        <v>1</v>
      </c>
      <c r="E48" s="20">
        <v>0</v>
      </c>
      <c r="F48" s="20">
        <f>SUM(D48:E48)</f>
        <v>1</v>
      </c>
      <c r="G48" s="20">
        <v>1</v>
      </c>
      <c r="H48" s="20">
        <v>0</v>
      </c>
      <c r="I48" s="20">
        <f>SUM(G48:H48)</f>
        <v>1</v>
      </c>
      <c r="J48" s="20">
        <f>F48-I48</f>
        <v>0</v>
      </c>
      <c r="K48" s="20">
        <v>0</v>
      </c>
      <c r="L48" s="20">
        <f>J48</f>
        <v>0</v>
      </c>
      <c r="M48" s="20">
        <v>0</v>
      </c>
      <c r="N48" s="20">
        <v>0</v>
      </c>
      <c r="O48" s="20">
        <v>0</v>
      </c>
      <c r="P48" s="20">
        <f>SUM(I48,L48)</f>
        <v>1</v>
      </c>
      <c r="Q48" s="20"/>
      <c r="R48" s="20">
        <f>SUM(P48:Q48)</f>
        <v>1</v>
      </c>
    </row>
    <row r="49" spans="1:18" ht="20.100000000000001" customHeight="1">
      <c r="A49" s="114">
        <v>31</v>
      </c>
      <c r="B49" s="164">
        <v>14</v>
      </c>
      <c r="C49" s="162" t="s">
        <v>16</v>
      </c>
      <c r="D49" s="164">
        <v>1</v>
      </c>
      <c r="E49" s="20">
        <v>0</v>
      </c>
      <c r="F49" s="20">
        <v>1</v>
      </c>
      <c r="G49" s="20">
        <v>1</v>
      </c>
      <c r="H49" s="20">
        <v>0</v>
      </c>
      <c r="I49" s="20">
        <v>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</v>
      </c>
      <c r="Q49" s="20"/>
      <c r="R49" s="20">
        <v>1</v>
      </c>
    </row>
    <row r="50" spans="1:18" ht="20.100000000000001" customHeight="1">
      <c r="A50" s="114">
        <v>32</v>
      </c>
      <c r="B50" s="164" t="s">
        <v>187</v>
      </c>
      <c r="C50" s="162" t="s">
        <v>139</v>
      </c>
      <c r="D50" s="164">
        <v>1</v>
      </c>
      <c r="E50" s="20">
        <v>0</v>
      </c>
      <c r="F50" s="20">
        <f>SUM(D50:E50)</f>
        <v>1</v>
      </c>
      <c r="G50" s="20">
        <v>1</v>
      </c>
      <c r="H50" s="20">
        <v>0</v>
      </c>
      <c r="I50" s="20">
        <f>SUM(G50:H50)</f>
        <v>1</v>
      </c>
      <c r="J50" s="20">
        <f>F50-I50</f>
        <v>0</v>
      </c>
      <c r="K50" s="20">
        <v>0</v>
      </c>
      <c r="L50" s="20">
        <f>J50</f>
        <v>0</v>
      </c>
      <c r="M50" s="20">
        <v>0</v>
      </c>
      <c r="N50" s="20">
        <v>0</v>
      </c>
      <c r="O50" s="20">
        <v>0</v>
      </c>
      <c r="P50" s="20">
        <f>SUM(I50,L50)</f>
        <v>1</v>
      </c>
      <c r="Q50" s="20"/>
      <c r="R50" s="20">
        <f>SUM(P50:Q50)</f>
        <v>1</v>
      </c>
    </row>
    <row r="51" spans="1:18" ht="20.100000000000001" customHeight="1">
      <c r="A51" s="114">
        <v>33</v>
      </c>
      <c r="B51" s="164" t="s">
        <v>187</v>
      </c>
      <c r="C51" s="162" t="s">
        <v>137</v>
      </c>
      <c r="D51" s="164">
        <v>1</v>
      </c>
      <c r="E51" s="20">
        <v>0</v>
      </c>
      <c r="F51" s="20">
        <f>SUM(D51:E51)</f>
        <v>1</v>
      </c>
      <c r="G51" s="20">
        <v>1</v>
      </c>
      <c r="H51" s="20">
        <v>0</v>
      </c>
      <c r="I51" s="20">
        <f>SUM(G51:H51)</f>
        <v>1</v>
      </c>
      <c r="J51" s="20">
        <f>F51-I51</f>
        <v>0</v>
      </c>
      <c r="K51" s="20">
        <v>0</v>
      </c>
      <c r="L51" s="20">
        <f>J51</f>
        <v>0</v>
      </c>
      <c r="M51" s="20">
        <v>0</v>
      </c>
      <c r="N51" s="20">
        <v>0</v>
      </c>
      <c r="O51" s="20">
        <v>0</v>
      </c>
      <c r="P51" s="20">
        <f>SUM(I51,L51)</f>
        <v>1</v>
      </c>
      <c r="Q51" s="20"/>
      <c r="R51" s="20">
        <f>SUM(P51:Q51)</f>
        <v>1</v>
      </c>
    </row>
    <row r="52" spans="1:18" ht="20.100000000000001" customHeight="1">
      <c r="A52" s="114">
        <v>34</v>
      </c>
      <c r="B52" s="164" t="s">
        <v>187</v>
      </c>
      <c r="C52" s="162" t="s">
        <v>100</v>
      </c>
      <c r="D52" s="166">
        <v>1</v>
      </c>
      <c r="E52" s="20">
        <v>0</v>
      </c>
      <c r="F52" s="20">
        <f>SUM(D52:E52)</f>
        <v>1</v>
      </c>
      <c r="G52" s="20">
        <v>1</v>
      </c>
      <c r="H52" s="20">
        <v>0</v>
      </c>
      <c r="I52" s="20">
        <f>SUM(G52:H52)</f>
        <v>1</v>
      </c>
      <c r="J52" s="20">
        <f>F52-I52</f>
        <v>0</v>
      </c>
      <c r="K52" s="20">
        <v>0</v>
      </c>
      <c r="L52" s="20">
        <f>J52</f>
        <v>0</v>
      </c>
      <c r="M52" s="20">
        <v>0</v>
      </c>
      <c r="N52" s="20">
        <v>0</v>
      </c>
      <c r="O52" s="20">
        <v>0</v>
      </c>
      <c r="P52" s="20">
        <f>SUM(I52,L52)</f>
        <v>1</v>
      </c>
      <c r="Q52" s="20"/>
      <c r="R52" s="20">
        <f>SUM(P52:Q52)</f>
        <v>1</v>
      </c>
    </row>
    <row r="53" spans="1:18" ht="20.100000000000001" customHeight="1">
      <c r="A53" s="114">
        <v>35</v>
      </c>
      <c r="B53" s="164">
        <v>11</v>
      </c>
      <c r="C53" s="162" t="s">
        <v>11</v>
      </c>
      <c r="D53" s="164">
        <v>2</v>
      </c>
      <c r="E53" s="20">
        <v>0</v>
      </c>
      <c r="F53" s="20">
        <f t="shared" si="21"/>
        <v>2</v>
      </c>
      <c r="G53" s="20">
        <v>2</v>
      </c>
      <c r="H53" s="20">
        <v>0</v>
      </c>
      <c r="I53" s="20">
        <f t="shared" si="22"/>
        <v>2</v>
      </c>
      <c r="J53" s="20">
        <f t="shared" si="23"/>
        <v>0</v>
      </c>
      <c r="K53" s="20">
        <v>0</v>
      </c>
      <c r="L53" s="20">
        <f t="shared" si="24"/>
        <v>0</v>
      </c>
      <c r="M53" s="20">
        <v>0</v>
      </c>
      <c r="N53" s="20">
        <v>0</v>
      </c>
      <c r="O53" s="20">
        <f t="shared" si="25"/>
        <v>0</v>
      </c>
      <c r="P53" s="20">
        <f t="shared" si="26"/>
        <v>2</v>
      </c>
      <c r="Q53" s="20"/>
      <c r="R53" s="20">
        <f t="shared" si="27"/>
        <v>2</v>
      </c>
    </row>
    <row r="54" spans="1:18" ht="20.100000000000001" customHeight="1">
      <c r="A54" s="114">
        <v>36</v>
      </c>
      <c r="B54" s="167">
        <v>11</v>
      </c>
      <c r="C54" s="162" t="s">
        <v>185</v>
      </c>
      <c r="D54" s="165">
        <v>2</v>
      </c>
      <c r="E54" s="20">
        <v>0</v>
      </c>
      <c r="F54" s="20">
        <f t="shared" si="21"/>
        <v>2</v>
      </c>
      <c r="G54" s="20">
        <v>2</v>
      </c>
      <c r="H54" s="20">
        <v>0</v>
      </c>
      <c r="I54" s="20">
        <f t="shared" si="22"/>
        <v>2</v>
      </c>
      <c r="J54" s="20">
        <f t="shared" si="23"/>
        <v>0</v>
      </c>
      <c r="K54" s="20">
        <v>0</v>
      </c>
      <c r="L54" s="20">
        <f t="shared" si="24"/>
        <v>0</v>
      </c>
      <c r="M54" s="20">
        <v>0</v>
      </c>
      <c r="N54" s="20">
        <v>0</v>
      </c>
      <c r="O54" s="20">
        <f t="shared" si="25"/>
        <v>0</v>
      </c>
      <c r="P54" s="20">
        <f t="shared" si="26"/>
        <v>2</v>
      </c>
      <c r="Q54" s="20"/>
      <c r="R54" s="20">
        <f t="shared" si="27"/>
        <v>2</v>
      </c>
    </row>
    <row r="55" spans="1:18" s="16" customFormat="1" ht="25.5" customHeight="1">
      <c r="A55" s="114">
        <v>37</v>
      </c>
      <c r="B55" s="164" t="s">
        <v>180</v>
      </c>
      <c r="C55" s="162" t="s">
        <v>140</v>
      </c>
      <c r="D55" s="164">
        <v>2</v>
      </c>
      <c r="E55" s="22">
        <v>0</v>
      </c>
      <c r="F55" s="22">
        <f t="shared" si="21"/>
        <v>2</v>
      </c>
      <c r="G55" s="22">
        <v>0</v>
      </c>
      <c r="H55" s="22">
        <v>0</v>
      </c>
      <c r="I55" s="22">
        <f t="shared" si="22"/>
        <v>0</v>
      </c>
      <c r="J55" s="22">
        <f t="shared" si="23"/>
        <v>2</v>
      </c>
      <c r="K55" s="22">
        <v>0</v>
      </c>
      <c r="L55" s="22">
        <f t="shared" si="24"/>
        <v>2</v>
      </c>
      <c r="M55" s="22">
        <v>2</v>
      </c>
      <c r="N55" s="22">
        <v>0</v>
      </c>
      <c r="O55" s="22">
        <v>2</v>
      </c>
      <c r="P55" s="22">
        <f t="shared" si="26"/>
        <v>2</v>
      </c>
      <c r="Q55" s="22"/>
      <c r="R55" s="22">
        <f t="shared" si="27"/>
        <v>2</v>
      </c>
    </row>
    <row r="56" spans="1:18" s="16" customFormat="1" ht="24" customHeight="1">
      <c r="A56" s="114">
        <v>38</v>
      </c>
      <c r="B56" s="164">
        <v>11</v>
      </c>
      <c r="C56" s="162" t="s">
        <v>231</v>
      </c>
      <c r="D56" s="164">
        <v>1</v>
      </c>
      <c r="E56" s="22">
        <v>0</v>
      </c>
      <c r="F56" s="22">
        <f t="shared" si="21"/>
        <v>1</v>
      </c>
      <c r="G56" s="22">
        <v>1</v>
      </c>
      <c r="H56" s="22">
        <v>0</v>
      </c>
      <c r="I56" s="22">
        <f t="shared" si="22"/>
        <v>1</v>
      </c>
      <c r="J56" s="22">
        <f t="shared" si="23"/>
        <v>0</v>
      </c>
      <c r="K56" s="22">
        <v>0</v>
      </c>
      <c r="L56" s="22">
        <f t="shared" si="24"/>
        <v>0</v>
      </c>
      <c r="M56" s="22">
        <v>0</v>
      </c>
      <c r="N56" s="22">
        <v>0</v>
      </c>
      <c r="O56" s="22">
        <v>0</v>
      </c>
      <c r="P56" s="22">
        <f t="shared" si="26"/>
        <v>1</v>
      </c>
      <c r="Q56" s="22"/>
      <c r="R56" s="22">
        <f t="shared" si="27"/>
        <v>1</v>
      </c>
    </row>
    <row r="57" spans="1:18" ht="24.75" customHeight="1">
      <c r="A57" s="114">
        <v>39</v>
      </c>
      <c r="B57" s="164">
        <v>11</v>
      </c>
      <c r="C57" s="162" t="s">
        <v>190</v>
      </c>
      <c r="D57" s="164">
        <v>0</v>
      </c>
      <c r="E57" s="20">
        <v>1</v>
      </c>
      <c r="F57" s="20">
        <f t="shared" si="21"/>
        <v>1</v>
      </c>
      <c r="G57" s="20">
        <v>0</v>
      </c>
      <c r="H57" s="20">
        <v>1</v>
      </c>
      <c r="I57" s="20">
        <f t="shared" si="22"/>
        <v>1</v>
      </c>
      <c r="J57" s="20">
        <f t="shared" si="23"/>
        <v>0</v>
      </c>
      <c r="K57" s="20"/>
      <c r="L57" s="20">
        <f t="shared" si="24"/>
        <v>0</v>
      </c>
      <c r="M57" s="20">
        <v>0</v>
      </c>
      <c r="N57" s="20">
        <v>0</v>
      </c>
      <c r="O57" s="20">
        <v>0</v>
      </c>
      <c r="P57" s="20">
        <v>0</v>
      </c>
      <c r="Q57" s="20">
        <v>1</v>
      </c>
      <c r="R57" s="20">
        <f t="shared" si="27"/>
        <v>1</v>
      </c>
    </row>
    <row r="58" spans="1:18" ht="22.5" customHeight="1">
      <c r="A58" s="114">
        <v>40</v>
      </c>
      <c r="B58" s="164">
        <v>2</v>
      </c>
      <c r="C58" s="162" t="s">
        <v>13</v>
      </c>
      <c r="D58" s="164">
        <v>1</v>
      </c>
      <c r="E58" s="20">
        <v>0</v>
      </c>
      <c r="F58" s="20">
        <f t="shared" si="21"/>
        <v>1</v>
      </c>
      <c r="G58" s="20">
        <v>1</v>
      </c>
      <c r="H58" s="20">
        <v>0</v>
      </c>
      <c r="I58" s="20">
        <f t="shared" si="22"/>
        <v>1</v>
      </c>
      <c r="J58" s="20">
        <f t="shared" si="23"/>
        <v>0</v>
      </c>
      <c r="K58" s="20">
        <v>0</v>
      </c>
      <c r="L58" s="20">
        <f t="shared" si="24"/>
        <v>0</v>
      </c>
      <c r="M58" s="20">
        <v>0</v>
      </c>
      <c r="N58" s="20">
        <v>0</v>
      </c>
      <c r="O58" s="20">
        <v>0</v>
      </c>
      <c r="P58" s="20">
        <f t="shared" si="26"/>
        <v>1</v>
      </c>
      <c r="Q58" s="20"/>
      <c r="R58" s="20">
        <f t="shared" si="27"/>
        <v>1</v>
      </c>
    </row>
    <row r="59" spans="1:18" ht="27.75" customHeight="1">
      <c r="A59" s="114">
        <v>41</v>
      </c>
      <c r="B59" s="164" t="s">
        <v>45</v>
      </c>
      <c r="C59" s="162" t="s">
        <v>207</v>
      </c>
      <c r="D59" s="164">
        <v>1</v>
      </c>
      <c r="E59" s="20">
        <v>0</v>
      </c>
      <c r="F59" s="20">
        <f t="shared" si="21"/>
        <v>1</v>
      </c>
      <c r="G59" s="20">
        <v>0</v>
      </c>
      <c r="H59" s="20">
        <v>0</v>
      </c>
      <c r="I59" s="20">
        <f t="shared" si="22"/>
        <v>0</v>
      </c>
      <c r="J59" s="20">
        <f t="shared" si="23"/>
        <v>1</v>
      </c>
      <c r="K59" s="20">
        <v>0</v>
      </c>
      <c r="L59" s="20">
        <f t="shared" si="24"/>
        <v>1</v>
      </c>
      <c r="M59" s="20">
        <v>1</v>
      </c>
      <c r="N59" s="20">
        <v>0</v>
      </c>
      <c r="O59" s="20">
        <v>1</v>
      </c>
      <c r="P59" s="20">
        <f t="shared" si="26"/>
        <v>1</v>
      </c>
      <c r="Q59" s="20"/>
      <c r="R59" s="20">
        <f t="shared" si="27"/>
        <v>1</v>
      </c>
    </row>
    <row r="60" spans="1:18" ht="23.1" customHeight="1">
      <c r="A60" s="114"/>
      <c r="B60" s="231" t="s">
        <v>14</v>
      </c>
      <c r="C60" s="232"/>
      <c r="D60" s="23">
        <f t="shared" ref="D60:R60" si="28">SUM(D44:D59)</f>
        <v>17</v>
      </c>
      <c r="E60" s="23">
        <f t="shared" si="28"/>
        <v>2</v>
      </c>
      <c r="F60" s="23">
        <f t="shared" si="28"/>
        <v>19</v>
      </c>
      <c r="G60" s="23">
        <f t="shared" si="28"/>
        <v>11</v>
      </c>
      <c r="H60" s="23">
        <f t="shared" si="28"/>
        <v>2</v>
      </c>
      <c r="I60" s="23">
        <f t="shared" si="28"/>
        <v>13</v>
      </c>
      <c r="J60" s="23">
        <f t="shared" si="28"/>
        <v>6</v>
      </c>
      <c r="K60" s="23">
        <f t="shared" si="28"/>
        <v>0</v>
      </c>
      <c r="L60" s="23">
        <f t="shared" si="28"/>
        <v>6</v>
      </c>
      <c r="M60" s="23">
        <f t="shared" si="28"/>
        <v>6</v>
      </c>
      <c r="N60" s="23">
        <f t="shared" si="28"/>
        <v>0</v>
      </c>
      <c r="O60" s="23">
        <f t="shared" si="28"/>
        <v>6</v>
      </c>
      <c r="P60" s="23">
        <f t="shared" si="28"/>
        <v>17</v>
      </c>
      <c r="Q60" s="23">
        <f t="shared" si="28"/>
        <v>2</v>
      </c>
      <c r="R60" s="23">
        <f t="shared" si="28"/>
        <v>19</v>
      </c>
    </row>
    <row r="61" spans="1:18" ht="23.1" customHeight="1">
      <c r="A61" s="223" t="s">
        <v>193</v>
      </c>
      <c r="B61" s="224"/>
      <c r="C61" s="224"/>
      <c r="D61" s="160"/>
      <c r="E61" s="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</row>
    <row r="62" spans="1:18" ht="31.5" customHeight="1">
      <c r="A62" s="111">
        <v>42</v>
      </c>
      <c r="B62" s="163">
        <v>17</v>
      </c>
      <c r="C62" s="161" t="s">
        <v>202</v>
      </c>
      <c r="D62" s="164">
        <v>1</v>
      </c>
      <c r="E62" s="19">
        <v>0</v>
      </c>
      <c r="F62" s="19">
        <f>SUM(D62:E62)</f>
        <v>1</v>
      </c>
      <c r="G62" s="19">
        <v>1</v>
      </c>
      <c r="H62" s="19">
        <v>0</v>
      </c>
      <c r="I62" s="19">
        <f>G62+H62</f>
        <v>1</v>
      </c>
      <c r="J62" s="19">
        <v>0</v>
      </c>
      <c r="K62" s="19">
        <v>0</v>
      </c>
      <c r="L62" s="19">
        <f>J62</f>
        <v>0</v>
      </c>
      <c r="M62" s="19">
        <v>0</v>
      </c>
      <c r="N62" s="19">
        <v>0</v>
      </c>
      <c r="O62" s="19">
        <v>0</v>
      </c>
      <c r="P62" s="20">
        <v>1</v>
      </c>
      <c r="Q62" s="19">
        <v>0</v>
      </c>
      <c r="R62" s="19">
        <f>SUM(P62:Q62)</f>
        <v>1</v>
      </c>
    </row>
    <row r="63" spans="1:18" ht="23.1" customHeight="1">
      <c r="A63" s="111">
        <v>43</v>
      </c>
      <c r="B63" s="164">
        <v>14</v>
      </c>
      <c r="C63" s="162" t="s">
        <v>26</v>
      </c>
      <c r="D63" s="166">
        <v>1</v>
      </c>
      <c r="E63" s="170">
        <v>0</v>
      </c>
      <c r="F63" s="19">
        <v>1</v>
      </c>
      <c r="G63" s="19">
        <v>1</v>
      </c>
      <c r="H63" s="19">
        <v>0</v>
      </c>
      <c r="I63" s="19">
        <v>1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20">
        <v>1</v>
      </c>
      <c r="Q63" s="19">
        <v>0</v>
      </c>
      <c r="R63" s="19">
        <v>1</v>
      </c>
    </row>
    <row r="64" spans="1:18" ht="23.1" customHeight="1">
      <c r="A64" s="111">
        <v>44</v>
      </c>
      <c r="B64" s="164">
        <v>11</v>
      </c>
      <c r="C64" s="162" t="s">
        <v>25</v>
      </c>
      <c r="D64" s="166">
        <v>1</v>
      </c>
      <c r="E64" s="170">
        <v>0</v>
      </c>
      <c r="F64" s="19">
        <f t="shared" ref="F64:F66" si="29">SUM(D64:E64)</f>
        <v>1</v>
      </c>
      <c r="G64" s="19">
        <v>0</v>
      </c>
      <c r="H64" s="19">
        <v>0</v>
      </c>
      <c r="I64" s="19">
        <f t="shared" ref="I64:I66" si="30">G64+H64</f>
        <v>0</v>
      </c>
      <c r="J64" s="19">
        <v>1</v>
      </c>
      <c r="K64" s="19">
        <v>0</v>
      </c>
      <c r="L64" s="19">
        <f t="shared" ref="L64:L66" si="31">J64</f>
        <v>1</v>
      </c>
      <c r="M64" s="19">
        <v>1</v>
      </c>
      <c r="N64" s="19">
        <v>0</v>
      </c>
      <c r="O64" s="19">
        <v>1</v>
      </c>
      <c r="P64" s="20">
        <f t="shared" ref="P64:P66" si="32">SUM(I64,L64)</f>
        <v>1</v>
      </c>
      <c r="Q64" s="19"/>
      <c r="R64" s="19">
        <f t="shared" ref="R64:R66" si="33">SUM(P64:Q64)</f>
        <v>1</v>
      </c>
    </row>
    <row r="65" spans="1:18" ht="23.1" customHeight="1">
      <c r="A65" s="111">
        <v>45</v>
      </c>
      <c r="B65" s="166">
        <v>11</v>
      </c>
      <c r="C65" s="162" t="s">
        <v>11</v>
      </c>
      <c r="D65" s="164">
        <v>1</v>
      </c>
      <c r="E65" s="170">
        <v>0</v>
      </c>
      <c r="F65" s="19">
        <f t="shared" si="29"/>
        <v>1</v>
      </c>
      <c r="G65" s="19">
        <v>1</v>
      </c>
      <c r="H65" s="19">
        <v>0</v>
      </c>
      <c r="I65" s="19">
        <f t="shared" si="30"/>
        <v>1</v>
      </c>
      <c r="J65" s="19">
        <v>0</v>
      </c>
      <c r="K65" s="19">
        <v>0</v>
      </c>
      <c r="L65" s="19">
        <f t="shared" si="31"/>
        <v>0</v>
      </c>
      <c r="M65" s="19">
        <v>0</v>
      </c>
      <c r="N65" s="19">
        <v>0</v>
      </c>
      <c r="O65" s="19">
        <v>0</v>
      </c>
      <c r="P65" s="20">
        <f t="shared" si="32"/>
        <v>1</v>
      </c>
      <c r="Q65" s="19"/>
      <c r="R65" s="19">
        <f t="shared" si="33"/>
        <v>1</v>
      </c>
    </row>
    <row r="66" spans="1:18" ht="23.1" customHeight="1">
      <c r="A66" s="111">
        <v>46</v>
      </c>
      <c r="B66" s="164" t="s">
        <v>192</v>
      </c>
      <c r="C66" s="162" t="s">
        <v>13</v>
      </c>
      <c r="D66" s="164">
        <v>1</v>
      </c>
      <c r="E66" s="170">
        <v>0</v>
      </c>
      <c r="F66" s="19">
        <f t="shared" si="29"/>
        <v>1</v>
      </c>
      <c r="G66" s="19">
        <v>1</v>
      </c>
      <c r="H66" s="19">
        <v>0</v>
      </c>
      <c r="I66" s="19">
        <f t="shared" si="30"/>
        <v>1</v>
      </c>
      <c r="J66" s="19">
        <v>0</v>
      </c>
      <c r="K66" s="19">
        <v>0</v>
      </c>
      <c r="L66" s="19">
        <f t="shared" si="31"/>
        <v>0</v>
      </c>
      <c r="M66" s="19">
        <v>0</v>
      </c>
      <c r="N66" s="19">
        <v>0</v>
      </c>
      <c r="O66" s="19">
        <v>0</v>
      </c>
      <c r="P66" s="20">
        <f t="shared" si="32"/>
        <v>1</v>
      </c>
      <c r="Q66" s="19"/>
      <c r="R66" s="19">
        <f t="shared" si="33"/>
        <v>1</v>
      </c>
    </row>
    <row r="67" spans="1:18" ht="23.1" customHeight="1">
      <c r="A67" s="114"/>
      <c r="B67" s="231" t="s">
        <v>14</v>
      </c>
      <c r="C67" s="232"/>
      <c r="D67" s="23">
        <f t="shared" ref="D67:R67" si="34">SUM(D62:D66)</f>
        <v>5</v>
      </c>
      <c r="E67" s="23">
        <f t="shared" si="34"/>
        <v>0</v>
      </c>
      <c r="F67" s="23">
        <f t="shared" si="34"/>
        <v>5</v>
      </c>
      <c r="G67" s="23">
        <f t="shared" si="34"/>
        <v>4</v>
      </c>
      <c r="H67" s="23">
        <f t="shared" si="34"/>
        <v>0</v>
      </c>
      <c r="I67" s="23">
        <f t="shared" si="34"/>
        <v>4</v>
      </c>
      <c r="J67" s="23">
        <f t="shared" si="34"/>
        <v>1</v>
      </c>
      <c r="K67" s="23">
        <f t="shared" si="34"/>
        <v>0</v>
      </c>
      <c r="L67" s="23">
        <f t="shared" si="34"/>
        <v>1</v>
      </c>
      <c r="M67" s="23">
        <f t="shared" si="34"/>
        <v>1</v>
      </c>
      <c r="N67" s="23">
        <f t="shared" si="34"/>
        <v>0</v>
      </c>
      <c r="O67" s="23">
        <f t="shared" si="34"/>
        <v>1</v>
      </c>
      <c r="P67" s="23">
        <f t="shared" si="34"/>
        <v>5</v>
      </c>
      <c r="Q67" s="23">
        <f t="shared" si="34"/>
        <v>0</v>
      </c>
      <c r="R67" s="23">
        <f t="shared" si="34"/>
        <v>5</v>
      </c>
    </row>
    <row r="68" spans="1:18" ht="36" customHeight="1">
      <c r="A68" s="228" t="s">
        <v>188</v>
      </c>
      <c r="B68" s="229"/>
      <c r="C68" s="23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</row>
    <row r="69" spans="1:18" ht="30" customHeight="1">
      <c r="A69" s="6">
        <v>47</v>
      </c>
      <c r="B69" s="163">
        <v>17</v>
      </c>
      <c r="C69" s="161" t="s">
        <v>188</v>
      </c>
      <c r="D69" s="164">
        <v>1</v>
      </c>
      <c r="E69" s="19">
        <v>0</v>
      </c>
      <c r="F69" s="19">
        <f>SUM(D69:E69)</f>
        <v>1</v>
      </c>
      <c r="G69" s="19">
        <v>1</v>
      </c>
      <c r="H69" s="19">
        <v>0</v>
      </c>
      <c r="I69" s="19">
        <f>SUM(G69:H69)</f>
        <v>1</v>
      </c>
      <c r="J69" s="19">
        <f>F69-I69</f>
        <v>0</v>
      </c>
      <c r="K69" s="19">
        <v>0</v>
      </c>
      <c r="L69" s="19">
        <f>J69</f>
        <v>0</v>
      </c>
      <c r="M69" s="19">
        <v>0</v>
      </c>
      <c r="N69" s="19">
        <v>0</v>
      </c>
      <c r="O69" s="19">
        <v>0</v>
      </c>
      <c r="P69" s="19">
        <f>SUM(I69,L69)</f>
        <v>1</v>
      </c>
      <c r="Q69" s="19"/>
      <c r="R69" s="19">
        <f>SUM(P69:Q69)</f>
        <v>1</v>
      </c>
    </row>
    <row r="70" spans="1:18" ht="22.5" customHeight="1">
      <c r="A70" s="6">
        <v>48</v>
      </c>
      <c r="B70" s="164">
        <v>15</v>
      </c>
      <c r="C70" s="162" t="s">
        <v>189</v>
      </c>
      <c r="D70" s="165">
        <v>1</v>
      </c>
      <c r="E70" s="19">
        <v>0</v>
      </c>
      <c r="F70" s="19">
        <f t="shared" ref="F70:F78" si="35">SUM(D70:E70)</f>
        <v>1</v>
      </c>
      <c r="G70" s="19">
        <v>1</v>
      </c>
      <c r="H70" s="19">
        <v>0</v>
      </c>
      <c r="I70" s="19">
        <f t="shared" ref="I70:I78" si="36">SUM(G70:H70)</f>
        <v>1</v>
      </c>
      <c r="J70" s="19">
        <f t="shared" ref="J70:J78" si="37">F70-I70</f>
        <v>0</v>
      </c>
      <c r="K70" s="19">
        <v>0</v>
      </c>
      <c r="L70" s="19">
        <f t="shared" ref="L70:L78" si="38">J70</f>
        <v>0</v>
      </c>
      <c r="M70" s="19">
        <v>0</v>
      </c>
      <c r="N70" s="19">
        <v>0</v>
      </c>
      <c r="O70" s="19">
        <f t="shared" ref="O70:O78" si="39">SUM(M70:N70)</f>
        <v>0</v>
      </c>
      <c r="P70" s="19">
        <f t="shared" ref="P70:P78" si="40">SUM(I70,L70)</f>
        <v>1</v>
      </c>
      <c r="Q70" s="19"/>
      <c r="R70" s="19">
        <f t="shared" ref="R70:R78" si="41">SUM(P70:Q70)</f>
        <v>1</v>
      </c>
    </row>
    <row r="71" spans="1:18" ht="22.5" customHeight="1">
      <c r="A71" s="6">
        <v>49</v>
      </c>
      <c r="B71" s="164">
        <v>14</v>
      </c>
      <c r="C71" s="162" t="s">
        <v>16</v>
      </c>
      <c r="D71" s="165">
        <v>1</v>
      </c>
      <c r="E71" s="19">
        <v>0</v>
      </c>
      <c r="F71" s="19">
        <v>1</v>
      </c>
      <c r="G71" s="19">
        <v>0</v>
      </c>
      <c r="H71" s="19">
        <v>0</v>
      </c>
      <c r="I71" s="19">
        <v>0</v>
      </c>
      <c r="J71" s="19">
        <v>1</v>
      </c>
      <c r="K71" s="19">
        <v>0</v>
      </c>
      <c r="L71" s="19">
        <v>1</v>
      </c>
      <c r="M71" s="19">
        <v>1</v>
      </c>
      <c r="N71" s="19">
        <v>0</v>
      </c>
      <c r="O71" s="19">
        <v>1</v>
      </c>
      <c r="P71" s="19">
        <v>1</v>
      </c>
      <c r="Q71" s="19">
        <v>0</v>
      </c>
      <c r="R71" s="19">
        <v>1</v>
      </c>
    </row>
    <row r="72" spans="1:18" ht="20.100000000000001" customHeight="1">
      <c r="A72" s="6">
        <v>50</v>
      </c>
      <c r="B72" s="167">
        <v>14</v>
      </c>
      <c r="C72" s="162" t="s">
        <v>185</v>
      </c>
      <c r="D72" s="174">
        <v>2</v>
      </c>
      <c r="E72" s="19">
        <v>0</v>
      </c>
      <c r="F72" s="19">
        <f>SUM(D72:E72)</f>
        <v>2</v>
      </c>
      <c r="G72" s="19">
        <v>2</v>
      </c>
      <c r="H72" s="19">
        <v>0</v>
      </c>
      <c r="I72" s="19">
        <f>SUM(G72:H72)</f>
        <v>2</v>
      </c>
      <c r="J72" s="19">
        <f>F72-I72</f>
        <v>0</v>
      </c>
      <c r="K72" s="19">
        <v>0</v>
      </c>
      <c r="L72" s="19">
        <f>J72</f>
        <v>0</v>
      </c>
      <c r="M72" s="19">
        <v>0</v>
      </c>
      <c r="N72" s="19">
        <v>0</v>
      </c>
      <c r="O72" s="19">
        <f>SUM(M72:N72)</f>
        <v>0</v>
      </c>
      <c r="P72" s="19">
        <f>SUM(I72,L72)</f>
        <v>2</v>
      </c>
      <c r="Q72" s="19"/>
      <c r="R72" s="19">
        <f>SUM(P72:Q72)</f>
        <v>2</v>
      </c>
    </row>
    <row r="73" spans="1:18" ht="20.100000000000001" customHeight="1">
      <c r="A73" s="6">
        <v>51</v>
      </c>
      <c r="B73" s="167">
        <v>11</v>
      </c>
      <c r="C73" s="162" t="s">
        <v>185</v>
      </c>
      <c r="D73" s="174">
        <v>1</v>
      </c>
      <c r="E73" s="19">
        <v>0</v>
      </c>
      <c r="F73" s="19">
        <f>SUM(D73:E73)</f>
        <v>1</v>
      </c>
      <c r="G73" s="19">
        <v>1</v>
      </c>
      <c r="H73" s="19">
        <v>0</v>
      </c>
      <c r="I73" s="19">
        <f>SUM(G73:H73)</f>
        <v>1</v>
      </c>
      <c r="J73" s="19">
        <f>F73-I73</f>
        <v>0</v>
      </c>
      <c r="K73" s="19">
        <v>0</v>
      </c>
      <c r="L73" s="19">
        <f>J73</f>
        <v>0</v>
      </c>
      <c r="M73" s="19">
        <v>0</v>
      </c>
      <c r="N73" s="19">
        <v>0</v>
      </c>
      <c r="O73" s="19">
        <f>SUM(M73:N73)</f>
        <v>0</v>
      </c>
      <c r="P73" s="19">
        <f>SUM(I73,L73)</f>
        <v>1</v>
      </c>
      <c r="Q73" s="19"/>
      <c r="R73" s="19">
        <f>SUM(P73:Q73)</f>
        <v>1</v>
      </c>
    </row>
    <row r="74" spans="1:18" ht="18.75" customHeight="1">
      <c r="A74" s="6">
        <v>52</v>
      </c>
      <c r="B74" s="165">
        <v>12</v>
      </c>
      <c r="C74" s="162" t="s">
        <v>99</v>
      </c>
      <c r="D74" s="165">
        <v>1</v>
      </c>
      <c r="E74" s="19">
        <v>0</v>
      </c>
      <c r="F74" s="19">
        <f t="shared" si="35"/>
        <v>1</v>
      </c>
      <c r="G74" s="19">
        <v>1</v>
      </c>
      <c r="H74" s="19">
        <v>0</v>
      </c>
      <c r="I74" s="19">
        <f t="shared" si="36"/>
        <v>1</v>
      </c>
      <c r="J74" s="19">
        <f t="shared" si="37"/>
        <v>0</v>
      </c>
      <c r="K74" s="19">
        <v>0</v>
      </c>
      <c r="L74" s="19">
        <f t="shared" si="38"/>
        <v>0</v>
      </c>
      <c r="M74" s="19">
        <v>0</v>
      </c>
      <c r="N74" s="19">
        <v>0</v>
      </c>
      <c r="O74" s="19">
        <f t="shared" si="39"/>
        <v>0</v>
      </c>
      <c r="P74" s="19">
        <f t="shared" si="40"/>
        <v>1</v>
      </c>
      <c r="Q74" s="19"/>
      <c r="R74" s="19">
        <f t="shared" si="41"/>
        <v>1</v>
      </c>
    </row>
    <row r="75" spans="1:18" ht="27" customHeight="1">
      <c r="A75" s="6">
        <v>53</v>
      </c>
      <c r="B75" s="165">
        <v>12</v>
      </c>
      <c r="C75" s="162" t="s">
        <v>203</v>
      </c>
      <c r="D75" s="165">
        <v>1</v>
      </c>
      <c r="E75" s="19">
        <v>0</v>
      </c>
      <c r="F75" s="19">
        <v>1</v>
      </c>
      <c r="G75" s="19">
        <v>0</v>
      </c>
      <c r="H75" s="19">
        <v>0</v>
      </c>
      <c r="I75" s="19">
        <v>0</v>
      </c>
      <c r="J75" s="19">
        <v>1</v>
      </c>
      <c r="K75" s="19">
        <v>0</v>
      </c>
      <c r="L75" s="19">
        <v>1</v>
      </c>
      <c r="M75" s="19">
        <v>1</v>
      </c>
      <c r="N75" s="19">
        <v>0</v>
      </c>
      <c r="O75" s="19">
        <v>1</v>
      </c>
      <c r="P75" s="19">
        <v>1</v>
      </c>
      <c r="Q75" s="19"/>
      <c r="R75" s="19">
        <v>1</v>
      </c>
    </row>
    <row r="76" spans="1:18" ht="24.75" customHeight="1">
      <c r="A76" s="6">
        <v>54</v>
      </c>
      <c r="B76" s="167">
        <v>11</v>
      </c>
      <c r="C76" s="162" t="s">
        <v>232</v>
      </c>
      <c r="D76" s="165">
        <v>2</v>
      </c>
      <c r="E76" s="19">
        <v>0</v>
      </c>
      <c r="F76" s="19">
        <f t="shared" si="35"/>
        <v>2</v>
      </c>
      <c r="G76" s="19">
        <v>0</v>
      </c>
      <c r="H76" s="19">
        <v>0</v>
      </c>
      <c r="I76" s="19">
        <f t="shared" si="36"/>
        <v>0</v>
      </c>
      <c r="J76" s="19">
        <f t="shared" si="37"/>
        <v>2</v>
      </c>
      <c r="K76" s="19">
        <v>0</v>
      </c>
      <c r="L76" s="19">
        <f t="shared" si="38"/>
        <v>2</v>
      </c>
      <c r="M76" s="19">
        <v>2</v>
      </c>
      <c r="N76" s="19">
        <v>0</v>
      </c>
      <c r="O76" s="19">
        <f t="shared" si="39"/>
        <v>2</v>
      </c>
      <c r="P76" s="19">
        <f t="shared" si="40"/>
        <v>2</v>
      </c>
      <c r="Q76" s="19"/>
      <c r="R76" s="19">
        <f t="shared" si="41"/>
        <v>2</v>
      </c>
    </row>
    <row r="77" spans="1:18" ht="24.75" customHeight="1">
      <c r="A77" s="6">
        <v>55</v>
      </c>
      <c r="B77" s="165">
        <v>11</v>
      </c>
      <c r="C77" s="162" t="s">
        <v>234</v>
      </c>
      <c r="D77" s="164">
        <v>1</v>
      </c>
      <c r="E77" s="19">
        <v>0</v>
      </c>
      <c r="F77" s="19">
        <f t="shared" ref="F77" si="42">SUM(D77:E77)</f>
        <v>1</v>
      </c>
      <c r="G77" s="19">
        <v>1</v>
      </c>
      <c r="H77" s="19">
        <v>0</v>
      </c>
      <c r="I77" s="19">
        <f t="shared" ref="I77" si="43">SUM(G77:H77)</f>
        <v>1</v>
      </c>
      <c r="J77" s="19">
        <f t="shared" ref="J77" si="44">F77-I77</f>
        <v>0</v>
      </c>
      <c r="K77" s="19">
        <v>0</v>
      </c>
      <c r="L77" s="19">
        <f t="shared" ref="L77" si="45">J77</f>
        <v>0</v>
      </c>
      <c r="M77" s="19">
        <v>0</v>
      </c>
      <c r="N77" s="19">
        <v>0</v>
      </c>
      <c r="O77" s="19">
        <f t="shared" ref="O77" si="46">SUM(M77:N77)</f>
        <v>0</v>
      </c>
      <c r="P77" s="19">
        <f t="shared" ref="P77" si="47">SUM(I77,L77)</f>
        <v>1</v>
      </c>
      <c r="Q77" s="19"/>
      <c r="R77" s="19">
        <f t="shared" ref="R77" si="48">SUM(P77:Q77)</f>
        <v>1</v>
      </c>
    </row>
    <row r="78" spans="1:18" ht="24.75" customHeight="1">
      <c r="A78" s="6">
        <v>56</v>
      </c>
      <c r="B78" s="165">
        <v>11</v>
      </c>
      <c r="C78" s="162" t="s">
        <v>233</v>
      </c>
      <c r="D78" s="164">
        <v>1</v>
      </c>
      <c r="E78" s="19">
        <v>0</v>
      </c>
      <c r="F78" s="19">
        <f t="shared" si="35"/>
        <v>1</v>
      </c>
      <c r="G78" s="19">
        <v>1</v>
      </c>
      <c r="H78" s="19">
        <v>0</v>
      </c>
      <c r="I78" s="19">
        <f t="shared" si="36"/>
        <v>1</v>
      </c>
      <c r="J78" s="19">
        <f t="shared" si="37"/>
        <v>0</v>
      </c>
      <c r="K78" s="19">
        <v>0</v>
      </c>
      <c r="L78" s="19">
        <f t="shared" si="38"/>
        <v>0</v>
      </c>
      <c r="M78" s="19">
        <v>0</v>
      </c>
      <c r="N78" s="19">
        <v>0</v>
      </c>
      <c r="O78" s="19">
        <f t="shared" si="39"/>
        <v>0</v>
      </c>
      <c r="P78" s="19">
        <f t="shared" si="40"/>
        <v>1</v>
      </c>
      <c r="Q78" s="19"/>
      <c r="R78" s="19">
        <f t="shared" si="41"/>
        <v>1</v>
      </c>
    </row>
    <row r="79" spans="1:18" ht="25.5" customHeight="1">
      <c r="A79" s="6">
        <v>57</v>
      </c>
      <c r="B79" s="164">
        <v>4</v>
      </c>
      <c r="C79" s="162" t="s">
        <v>190</v>
      </c>
      <c r="D79" s="164">
        <v>0</v>
      </c>
      <c r="E79" s="19">
        <v>1</v>
      </c>
      <c r="F79" s="19">
        <f>SUM(D79:E79)</f>
        <v>1</v>
      </c>
      <c r="G79" s="19">
        <v>0</v>
      </c>
      <c r="H79" s="19">
        <v>1</v>
      </c>
      <c r="I79" s="19">
        <f>SUM(G79:H79)</f>
        <v>1</v>
      </c>
      <c r="J79" s="19">
        <f>F79-I79</f>
        <v>0</v>
      </c>
      <c r="K79" s="19">
        <v>0</v>
      </c>
      <c r="L79" s="19">
        <f>J79</f>
        <v>0</v>
      </c>
      <c r="M79" s="19">
        <v>0</v>
      </c>
      <c r="N79" s="19">
        <v>0</v>
      </c>
      <c r="O79" s="19">
        <f>SUM(M79:N79)</f>
        <v>0</v>
      </c>
      <c r="P79" s="19">
        <v>0</v>
      </c>
      <c r="Q79" s="19">
        <v>1</v>
      </c>
      <c r="R79" s="19">
        <f>SUM(P79:Q79)</f>
        <v>1</v>
      </c>
    </row>
    <row r="80" spans="1:18" ht="27.75" customHeight="1">
      <c r="A80" s="6">
        <v>58</v>
      </c>
      <c r="B80" s="164">
        <v>4</v>
      </c>
      <c r="C80" s="162" t="s">
        <v>12</v>
      </c>
      <c r="D80" s="164">
        <v>1</v>
      </c>
      <c r="E80" s="19">
        <v>0</v>
      </c>
      <c r="F80" s="19">
        <f>SUM(D80:E80)</f>
        <v>1</v>
      </c>
      <c r="G80" s="19">
        <v>1</v>
      </c>
      <c r="H80" s="19">
        <v>0</v>
      </c>
      <c r="I80" s="19">
        <f>SUM(G80:H80)</f>
        <v>1</v>
      </c>
      <c r="J80" s="19">
        <f>F80-I80</f>
        <v>0</v>
      </c>
      <c r="K80" s="19">
        <v>0</v>
      </c>
      <c r="L80" s="19">
        <f>J80</f>
        <v>0</v>
      </c>
      <c r="M80" s="19">
        <v>0</v>
      </c>
      <c r="N80" s="19">
        <v>0</v>
      </c>
      <c r="O80" s="19">
        <f>SUM(M80:N80)</f>
        <v>0</v>
      </c>
      <c r="P80" s="19">
        <f>SUM(I80,L80)</f>
        <v>1</v>
      </c>
      <c r="Q80" s="19"/>
      <c r="R80" s="19">
        <f>SUM(P80:Q80)</f>
        <v>1</v>
      </c>
    </row>
    <row r="81" spans="1:18" ht="18" customHeight="1">
      <c r="A81" s="6">
        <v>59</v>
      </c>
      <c r="B81" s="165">
        <v>1</v>
      </c>
      <c r="C81" s="169" t="s">
        <v>13</v>
      </c>
      <c r="D81" s="164">
        <v>1</v>
      </c>
      <c r="E81" s="20">
        <v>0</v>
      </c>
      <c r="F81" s="20">
        <f t="shared" ref="F81" si="49">SUM(D81:E81)</f>
        <v>1</v>
      </c>
      <c r="G81" s="20">
        <v>1</v>
      </c>
      <c r="H81" s="20">
        <v>0</v>
      </c>
      <c r="I81" s="20">
        <f t="shared" ref="I81" si="50">SUM(G81:H81)</f>
        <v>1</v>
      </c>
      <c r="J81" s="20">
        <v>0</v>
      </c>
      <c r="K81" s="20">
        <v>0</v>
      </c>
      <c r="L81" s="20">
        <f t="shared" ref="L81" si="51">J81</f>
        <v>0</v>
      </c>
      <c r="M81" s="20">
        <v>0</v>
      </c>
      <c r="N81" s="20">
        <v>0</v>
      </c>
      <c r="O81" s="20">
        <f t="shared" ref="O81" si="52">SUM(M81:N81)</f>
        <v>0</v>
      </c>
      <c r="P81" s="20">
        <f t="shared" ref="P81" si="53">SUM(I81,L81)</f>
        <v>1</v>
      </c>
      <c r="Q81" s="20"/>
      <c r="R81" s="20">
        <f t="shared" ref="R81" si="54">SUM(P81:Q81)</f>
        <v>1</v>
      </c>
    </row>
    <row r="82" spans="1:18" ht="24.75" customHeight="1">
      <c r="A82" s="6">
        <v>60</v>
      </c>
      <c r="B82" s="164">
        <v>1</v>
      </c>
      <c r="C82" s="162" t="s">
        <v>237</v>
      </c>
      <c r="D82" s="164">
        <v>1</v>
      </c>
      <c r="E82" s="20">
        <v>0</v>
      </c>
      <c r="F82" s="20">
        <f>SUM(D82:E82)</f>
        <v>1</v>
      </c>
      <c r="G82" s="20">
        <v>1</v>
      </c>
      <c r="H82" s="20">
        <v>0</v>
      </c>
      <c r="I82" s="20">
        <f>SUM(G82:H82)</f>
        <v>1</v>
      </c>
      <c r="J82" s="20">
        <f>F82-I82</f>
        <v>0</v>
      </c>
      <c r="K82" s="20">
        <v>0</v>
      </c>
      <c r="L82" s="20">
        <f>J82</f>
        <v>0</v>
      </c>
      <c r="M82" s="20">
        <v>0</v>
      </c>
      <c r="N82" s="20">
        <v>0</v>
      </c>
      <c r="O82" s="20">
        <v>0</v>
      </c>
      <c r="P82" s="20">
        <f>SUM(I82,L82)</f>
        <v>1</v>
      </c>
      <c r="Q82" s="20"/>
      <c r="R82" s="20">
        <f>SUM(P82:Q82)</f>
        <v>1</v>
      </c>
    </row>
    <row r="83" spans="1:18" ht="23.25" customHeight="1">
      <c r="A83" s="6">
        <v>61</v>
      </c>
      <c r="B83" s="164">
        <v>1</v>
      </c>
      <c r="C83" s="162" t="s">
        <v>206</v>
      </c>
      <c r="D83" s="164">
        <v>5</v>
      </c>
      <c r="E83" s="19">
        <v>0</v>
      </c>
      <c r="F83" s="19">
        <f t="shared" ref="F83" si="55">SUM(D83:E83)</f>
        <v>5</v>
      </c>
      <c r="G83" s="19">
        <v>1</v>
      </c>
      <c r="H83" s="19">
        <v>0</v>
      </c>
      <c r="I83" s="19">
        <f t="shared" ref="I83" si="56">SUM(G83:H83)</f>
        <v>1</v>
      </c>
      <c r="J83" s="19">
        <f t="shared" ref="J83" si="57">F83-I83</f>
        <v>4</v>
      </c>
      <c r="K83" s="19">
        <v>0</v>
      </c>
      <c r="L83" s="19">
        <f t="shared" ref="L83" si="58">J83</f>
        <v>4</v>
      </c>
      <c r="M83" s="19">
        <v>4</v>
      </c>
      <c r="N83" s="19">
        <v>0</v>
      </c>
      <c r="O83" s="19">
        <f t="shared" ref="O83" si="59">SUM(M83:N83)</f>
        <v>4</v>
      </c>
      <c r="P83" s="19">
        <f t="shared" ref="P83" si="60">SUM(I83,L83)</f>
        <v>5</v>
      </c>
      <c r="Q83" s="19"/>
      <c r="R83" s="19">
        <f t="shared" ref="R83" si="61">SUM(P83:Q83)</f>
        <v>5</v>
      </c>
    </row>
    <row r="84" spans="1:18" ht="23.1" customHeight="1">
      <c r="A84" s="116"/>
      <c r="B84" s="231" t="s">
        <v>14</v>
      </c>
      <c r="C84" s="232"/>
      <c r="D84" s="23">
        <f t="shared" ref="D84:R84" si="62">SUM(D69:D83)</f>
        <v>20</v>
      </c>
      <c r="E84" s="23">
        <f t="shared" si="62"/>
        <v>1</v>
      </c>
      <c r="F84" s="23">
        <f t="shared" si="62"/>
        <v>21</v>
      </c>
      <c r="G84" s="23">
        <f t="shared" si="62"/>
        <v>12</v>
      </c>
      <c r="H84" s="23">
        <f t="shared" si="62"/>
        <v>1</v>
      </c>
      <c r="I84" s="23">
        <f t="shared" si="62"/>
        <v>13</v>
      </c>
      <c r="J84" s="23">
        <f t="shared" si="62"/>
        <v>8</v>
      </c>
      <c r="K84" s="23">
        <f t="shared" si="62"/>
        <v>0</v>
      </c>
      <c r="L84" s="23">
        <f t="shared" si="62"/>
        <v>8</v>
      </c>
      <c r="M84" s="23">
        <f t="shared" si="62"/>
        <v>8</v>
      </c>
      <c r="N84" s="23">
        <f t="shared" si="62"/>
        <v>0</v>
      </c>
      <c r="O84" s="23">
        <f t="shared" si="62"/>
        <v>8</v>
      </c>
      <c r="P84" s="23">
        <f t="shared" si="62"/>
        <v>20</v>
      </c>
      <c r="Q84" s="23">
        <f t="shared" si="62"/>
        <v>1</v>
      </c>
      <c r="R84" s="23">
        <f t="shared" si="62"/>
        <v>21</v>
      </c>
    </row>
    <row r="85" spans="1:18" s="16" customFormat="1" ht="15" customHeight="1">
      <c r="A85" s="119"/>
      <c r="B85" s="157"/>
      <c r="C85" s="15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24" customHeight="1">
      <c r="A86" s="233" t="s">
        <v>126</v>
      </c>
      <c r="B86" s="234"/>
      <c r="C86" s="234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</row>
    <row r="87" spans="1:18" ht="21" customHeight="1">
      <c r="A87" s="114">
        <v>62</v>
      </c>
      <c r="B87" s="163">
        <v>17</v>
      </c>
      <c r="C87" s="161" t="s">
        <v>194</v>
      </c>
      <c r="D87" s="164">
        <v>1</v>
      </c>
      <c r="E87" s="20">
        <v>0</v>
      </c>
      <c r="F87" s="20">
        <f>SUM(D87:E87)</f>
        <v>1</v>
      </c>
      <c r="G87" s="20">
        <v>1</v>
      </c>
      <c r="H87" s="20">
        <v>0</v>
      </c>
      <c r="I87" s="20">
        <f>SUM(G87:H87)</f>
        <v>1</v>
      </c>
      <c r="J87" s="20">
        <f>F87-I87</f>
        <v>0</v>
      </c>
      <c r="K87" s="20">
        <v>0</v>
      </c>
      <c r="L87" s="20">
        <f t="shared" ref="L87" si="63">J87</f>
        <v>0</v>
      </c>
      <c r="M87" s="20">
        <v>0</v>
      </c>
      <c r="N87" s="20">
        <v>0</v>
      </c>
      <c r="O87" s="20">
        <f>SUM(M87:N87)</f>
        <v>0</v>
      </c>
      <c r="P87" s="20">
        <f>SUM(I87,L87)</f>
        <v>1</v>
      </c>
      <c r="Q87" s="20"/>
      <c r="R87" s="20">
        <f>SUM(P87:Q87)</f>
        <v>1</v>
      </c>
    </row>
    <row r="88" spans="1:18" ht="21" customHeight="1">
      <c r="A88" s="114">
        <v>63</v>
      </c>
      <c r="B88" s="163">
        <v>16</v>
      </c>
      <c r="C88" s="161" t="s">
        <v>95</v>
      </c>
      <c r="D88" s="164">
        <v>1</v>
      </c>
      <c r="E88" s="20">
        <v>0</v>
      </c>
      <c r="F88" s="20">
        <v>1</v>
      </c>
      <c r="G88" s="20">
        <v>0</v>
      </c>
      <c r="H88" s="20">
        <v>0</v>
      </c>
      <c r="I88" s="20">
        <v>0</v>
      </c>
      <c r="J88" s="20">
        <v>1</v>
      </c>
      <c r="K88" s="20">
        <v>0</v>
      </c>
      <c r="L88" s="20">
        <v>1</v>
      </c>
      <c r="M88" s="20">
        <v>1</v>
      </c>
      <c r="N88" s="20">
        <v>0</v>
      </c>
      <c r="O88" s="20">
        <v>1</v>
      </c>
      <c r="P88" s="20">
        <v>1</v>
      </c>
      <c r="Q88" s="20">
        <v>0</v>
      </c>
      <c r="R88" s="20">
        <v>1</v>
      </c>
    </row>
    <row r="89" spans="1:18" ht="28.5">
      <c r="A89" s="114">
        <v>64</v>
      </c>
      <c r="B89" s="164">
        <v>16</v>
      </c>
      <c r="C89" s="162" t="s">
        <v>195</v>
      </c>
      <c r="D89" s="164">
        <v>2</v>
      </c>
      <c r="E89" s="20">
        <v>0</v>
      </c>
      <c r="F89" s="20">
        <f t="shared" ref="F89:F127" si="64">SUM(D89:E89)</f>
        <v>2</v>
      </c>
      <c r="G89" s="20">
        <v>0</v>
      </c>
      <c r="H89" s="20">
        <v>0</v>
      </c>
      <c r="I89" s="20">
        <f t="shared" ref="I89:I133" si="65">SUM(G89:H89)</f>
        <v>0</v>
      </c>
      <c r="J89" s="20">
        <f t="shared" ref="J89:J127" si="66">F89-I89</f>
        <v>2</v>
      </c>
      <c r="K89" s="20">
        <v>0</v>
      </c>
      <c r="L89" s="20">
        <f t="shared" ref="L89:L127" si="67">J89</f>
        <v>2</v>
      </c>
      <c r="M89" s="20">
        <v>2</v>
      </c>
      <c r="N89" s="20">
        <v>0</v>
      </c>
      <c r="O89" s="20">
        <f t="shared" ref="O89:O127" si="68">SUM(M89:N89)</f>
        <v>2</v>
      </c>
      <c r="P89" s="20">
        <f t="shared" ref="P89:P127" si="69">SUM(I89,L89)</f>
        <v>2</v>
      </c>
      <c r="Q89" s="20"/>
      <c r="R89" s="20">
        <f t="shared" ref="R89:R127" si="70">SUM(P89:Q89)</f>
        <v>2</v>
      </c>
    </row>
    <row r="90" spans="1:18" ht="18" customHeight="1">
      <c r="A90" s="114">
        <v>65</v>
      </c>
      <c r="B90" s="164">
        <v>13</v>
      </c>
      <c r="C90" s="162" t="s">
        <v>27</v>
      </c>
      <c r="D90" s="164">
        <v>1</v>
      </c>
      <c r="E90" s="20">
        <v>0</v>
      </c>
      <c r="F90" s="20">
        <f t="shared" si="64"/>
        <v>1</v>
      </c>
      <c r="G90" s="20">
        <v>0</v>
      </c>
      <c r="H90" s="20">
        <v>0</v>
      </c>
      <c r="I90" s="20">
        <f t="shared" si="65"/>
        <v>0</v>
      </c>
      <c r="J90" s="20">
        <f t="shared" si="66"/>
        <v>1</v>
      </c>
      <c r="K90" s="20">
        <v>0</v>
      </c>
      <c r="L90" s="20">
        <f t="shared" si="67"/>
        <v>1</v>
      </c>
      <c r="M90" s="20">
        <v>1</v>
      </c>
      <c r="N90" s="20">
        <v>0</v>
      </c>
      <c r="O90" s="20">
        <f t="shared" si="68"/>
        <v>1</v>
      </c>
      <c r="P90" s="20">
        <f t="shared" si="69"/>
        <v>1</v>
      </c>
      <c r="Q90" s="20"/>
      <c r="R90" s="20">
        <f t="shared" si="70"/>
        <v>1</v>
      </c>
    </row>
    <row r="91" spans="1:18" ht="18" customHeight="1">
      <c r="A91" s="114">
        <v>66</v>
      </c>
      <c r="B91" s="164">
        <v>15</v>
      </c>
      <c r="C91" s="162" t="s">
        <v>189</v>
      </c>
      <c r="D91" s="164">
        <v>1</v>
      </c>
      <c r="E91" s="20">
        <v>0</v>
      </c>
      <c r="F91" s="20">
        <f t="shared" si="64"/>
        <v>1</v>
      </c>
      <c r="G91" s="20">
        <v>1</v>
      </c>
      <c r="H91" s="20">
        <v>0</v>
      </c>
      <c r="I91" s="20">
        <f t="shared" si="65"/>
        <v>1</v>
      </c>
      <c r="J91" s="20">
        <f t="shared" si="66"/>
        <v>0</v>
      </c>
      <c r="K91" s="20">
        <v>0</v>
      </c>
      <c r="L91" s="20">
        <f t="shared" si="67"/>
        <v>0</v>
      </c>
      <c r="M91" s="20">
        <v>0</v>
      </c>
      <c r="N91" s="20">
        <v>0</v>
      </c>
      <c r="O91" s="20">
        <f t="shared" si="68"/>
        <v>0</v>
      </c>
      <c r="P91" s="20">
        <f t="shared" si="69"/>
        <v>1</v>
      </c>
      <c r="Q91" s="20"/>
      <c r="R91" s="20">
        <f t="shared" si="70"/>
        <v>1</v>
      </c>
    </row>
    <row r="92" spans="1:18" ht="18" customHeight="1">
      <c r="A92" s="114">
        <v>67</v>
      </c>
      <c r="B92" s="164">
        <v>14</v>
      </c>
      <c r="C92" s="162" t="s">
        <v>151</v>
      </c>
      <c r="D92" s="164">
        <v>1</v>
      </c>
      <c r="E92" s="20">
        <v>0</v>
      </c>
      <c r="F92" s="20">
        <v>1</v>
      </c>
      <c r="G92" s="20">
        <v>0</v>
      </c>
      <c r="H92" s="20">
        <v>0</v>
      </c>
      <c r="I92" s="20">
        <v>0</v>
      </c>
      <c r="J92" s="20">
        <v>1</v>
      </c>
      <c r="K92" s="20">
        <v>0</v>
      </c>
      <c r="L92" s="20">
        <v>1</v>
      </c>
      <c r="M92" s="20">
        <v>1</v>
      </c>
      <c r="N92" s="20">
        <v>0</v>
      </c>
      <c r="O92" s="20">
        <v>1</v>
      </c>
      <c r="P92" s="20">
        <v>1</v>
      </c>
      <c r="Q92" s="20">
        <v>0</v>
      </c>
      <c r="R92" s="20">
        <v>1</v>
      </c>
    </row>
    <row r="93" spans="1:18" ht="18" customHeight="1">
      <c r="A93" s="114">
        <v>68</v>
      </c>
      <c r="B93" s="164">
        <v>14</v>
      </c>
      <c r="C93" s="162" t="s">
        <v>16</v>
      </c>
      <c r="D93" s="164">
        <v>1</v>
      </c>
      <c r="E93" s="20">
        <v>0</v>
      </c>
      <c r="F93" s="20">
        <v>1</v>
      </c>
      <c r="G93" s="20">
        <v>0</v>
      </c>
      <c r="H93" s="20">
        <v>0</v>
      </c>
      <c r="I93" s="20">
        <v>0</v>
      </c>
      <c r="J93" s="20">
        <v>1</v>
      </c>
      <c r="K93" s="20">
        <v>0</v>
      </c>
      <c r="L93" s="20">
        <v>1</v>
      </c>
      <c r="M93" s="20">
        <v>1</v>
      </c>
      <c r="N93" s="20">
        <v>0</v>
      </c>
      <c r="O93" s="20">
        <v>1</v>
      </c>
      <c r="P93" s="20">
        <v>1</v>
      </c>
      <c r="Q93" s="20">
        <v>0</v>
      </c>
      <c r="R93" s="20">
        <v>1</v>
      </c>
    </row>
    <row r="94" spans="1:18" ht="18" customHeight="1">
      <c r="A94" s="114">
        <v>69</v>
      </c>
      <c r="B94" s="165">
        <v>14</v>
      </c>
      <c r="C94" s="162" t="s">
        <v>185</v>
      </c>
      <c r="D94" s="164">
        <v>1</v>
      </c>
      <c r="E94" s="20">
        <v>0</v>
      </c>
      <c r="F94" s="20">
        <f>SUM(D94:E94)</f>
        <v>1</v>
      </c>
      <c r="G94" s="20">
        <v>1</v>
      </c>
      <c r="H94" s="20">
        <v>0</v>
      </c>
      <c r="I94" s="20">
        <f>SUM(G94:H94)</f>
        <v>1</v>
      </c>
      <c r="J94" s="20">
        <f>F94-I94</f>
        <v>0</v>
      </c>
      <c r="K94" s="20">
        <v>0</v>
      </c>
      <c r="L94" s="20">
        <f>J94</f>
        <v>0</v>
      </c>
      <c r="M94" s="20">
        <v>0</v>
      </c>
      <c r="N94" s="20">
        <v>0</v>
      </c>
      <c r="O94" s="20">
        <f>SUM(M94:N94)</f>
        <v>0</v>
      </c>
      <c r="P94" s="20">
        <f>SUM(I94,L94)</f>
        <v>1</v>
      </c>
      <c r="Q94" s="20"/>
      <c r="R94" s="20">
        <f>SUM(P94:Q94)</f>
        <v>1</v>
      </c>
    </row>
    <row r="95" spans="1:18" ht="18" customHeight="1">
      <c r="A95" s="114">
        <v>70</v>
      </c>
      <c r="B95" s="164" t="s">
        <v>187</v>
      </c>
      <c r="C95" s="162" t="s">
        <v>102</v>
      </c>
      <c r="D95" s="164">
        <v>1</v>
      </c>
      <c r="E95" s="20">
        <v>0</v>
      </c>
      <c r="F95" s="20">
        <f>SUM(D95:E95)</f>
        <v>1</v>
      </c>
      <c r="G95" s="20">
        <v>1</v>
      </c>
      <c r="H95" s="20">
        <v>0</v>
      </c>
      <c r="I95" s="20">
        <f>SUM(G95:H95)</f>
        <v>1</v>
      </c>
      <c r="J95" s="20">
        <f>F95-I95</f>
        <v>0</v>
      </c>
      <c r="K95" s="20">
        <v>0</v>
      </c>
      <c r="L95" s="20">
        <f>J95</f>
        <v>0</v>
      </c>
      <c r="M95" s="20">
        <v>0</v>
      </c>
      <c r="N95" s="20">
        <v>0</v>
      </c>
      <c r="O95" s="20">
        <f>SUM(M95:N95)</f>
        <v>0</v>
      </c>
      <c r="P95" s="20">
        <f>SUM(I95,L95)</f>
        <v>1</v>
      </c>
      <c r="Q95" s="20"/>
      <c r="R95" s="20">
        <f>SUM(P95:Q95)</f>
        <v>1</v>
      </c>
    </row>
    <row r="96" spans="1:18" ht="18" customHeight="1">
      <c r="A96" s="114">
        <v>71</v>
      </c>
      <c r="B96" s="164">
        <v>14</v>
      </c>
      <c r="C96" s="162" t="s">
        <v>196</v>
      </c>
      <c r="D96" s="164">
        <v>3</v>
      </c>
      <c r="E96" s="20">
        <v>0</v>
      </c>
      <c r="F96" s="20">
        <f>SUM(D96:E96)</f>
        <v>3</v>
      </c>
      <c r="G96" s="20">
        <v>2</v>
      </c>
      <c r="H96" s="20">
        <v>0</v>
      </c>
      <c r="I96" s="20">
        <f>SUM(G96:H96)</f>
        <v>2</v>
      </c>
      <c r="J96" s="20">
        <f>F96-I96</f>
        <v>1</v>
      </c>
      <c r="K96" s="20">
        <v>0</v>
      </c>
      <c r="L96" s="20">
        <f>J96</f>
        <v>1</v>
      </c>
      <c r="M96" s="20">
        <v>1</v>
      </c>
      <c r="N96" s="20">
        <v>0</v>
      </c>
      <c r="O96" s="20">
        <f>SUM(M96:N96)</f>
        <v>1</v>
      </c>
      <c r="P96" s="20">
        <f>SUM(I96,L96)</f>
        <v>3</v>
      </c>
      <c r="Q96" s="20"/>
      <c r="R96" s="20">
        <f>SUM(P96:Q96)</f>
        <v>3</v>
      </c>
    </row>
    <row r="97" spans="1:18" ht="18" customHeight="1">
      <c r="A97" s="114">
        <v>72</v>
      </c>
      <c r="B97" s="165">
        <v>12</v>
      </c>
      <c r="C97" s="162" t="s">
        <v>99</v>
      </c>
      <c r="D97" s="164">
        <v>1</v>
      </c>
      <c r="E97" s="20">
        <v>0</v>
      </c>
      <c r="F97" s="20">
        <f t="shared" si="64"/>
        <v>1</v>
      </c>
      <c r="G97" s="20">
        <v>1</v>
      </c>
      <c r="H97" s="20">
        <v>0</v>
      </c>
      <c r="I97" s="20">
        <f t="shared" si="65"/>
        <v>1</v>
      </c>
      <c r="J97" s="20">
        <f t="shared" si="66"/>
        <v>0</v>
      </c>
      <c r="K97" s="20">
        <v>0</v>
      </c>
      <c r="L97" s="20">
        <f t="shared" si="67"/>
        <v>0</v>
      </c>
      <c r="M97" s="20">
        <v>0</v>
      </c>
      <c r="N97" s="20">
        <v>0</v>
      </c>
      <c r="O97" s="20">
        <f t="shared" si="68"/>
        <v>0</v>
      </c>
      <c r="P97" s="20">
        <f t="shared" si="69"/>
        <v>1</v>
      </c>
      <c r="Q97" s="20"/>
      <c r="R97" s="20">
        <f t="shared" si="70"/>
        <v>1</v>
      </c>
    </row>
    <row r="98" spans="1:18" ht="18" customHeight="1">
      <c r="A98" s="114">
        <v>73</v>
      </c>
      <c r="B98" s="165">
        <v>11</v>
      </c>
      <c r="C98" s="162" t="s">
        <v>152</v>
      </c>
      <c r="D98" s="164">
        <v>1</v>
      </c>
      <c r="E98" s="20">
        <v>0</v>
      </c>
      <c r="F98" s="20">
        <v>1</v>
      </c>
      <c r="G98" s="20">
        <v>0</v>
      </c>
      <c r="H98" s="20">
        <v>0</v>
      </c>
      <c r="I98" s="20">
        <v>0</v>
      </c>
      <c r="J98" s="20">
        <v>1</v>
      </c>
      <c r="K98" s="20">
        <v>0</v>
      </c>
      <c r="L98" s="20">
        <v>1</v>
      </c>
      <c r="M98" s="20">
        <v>1</v>
      </c>
      <c r="N98" s="20">
        <v>0</v>
      </c>
      <c r="O98" s="20">
        <v>1</v>
      </c>
      <c r="P98" s="20">
        <v>1</v>
      </c>
      <c r="Q98" s="20">
        <v>0</v>
      </c>
      <c r="R98" s="20">
        <v>1</v>
      </c>
    </row>
    <row r="99" spans="1:18" ht="18" customHeight="1">
      <c r="A99" s="114">
        <v>74</v>
      </c>
      <c r="B99" s="167">
        <v>11</v>
      </c>
      <c r="C99" s="162" t="s">
        <v>185</v>
      </c>
      <c r="D99" s="164">
        <v>1</v>
      </c>
      <c r="E99" s="20">
        <v>0</v>
      </c>
      <c r="F99" s="20">
        <f t="shared" si="64"/>
        <v>1</v>
      </c>
      <c r="G99" s="20">
        <v>1</v>
      </c>
      <c r="H99" s="20">
        <v>0</v>
      </c>
      <c r="I99" s="20">
        <f t="shared" si="65"/>
        <v>1</v>
      </c>
      <c r="J99" s="20">
        <f t="shared" si="66"/>
        <v>0</v>
      </c>
      <c r="K99" s="20">
        <v>0</v>
      </c>
      <c r="L99" s="20">
        <f t="shared" si="67"/>
        <v>0</v>
      </c>
      <c r="M99" s="20">
        <v>0</v>
      </c>
      <c r="N99" s="20">
        <v>0</v>
      </c>
      <c r="O99" s="20">
        <f t="shared" si="68"/>
        <v>0</v>
      </c>
      <c r="P99" s="20">
        <f t="shared" si="69"/>
        <v>1</v>
      </c>
      <c r="Q99" s="20"/>
      <c r="R99" s="20">
        <f t="shared" si="70"/>
        <v>1</v>
      </c>
    </row>
    <row r="100" spans="1:18" ht="25.5" customHeight="1">
      <c r="A100" s="114">
        <v>75</v>
      </c>
      <c r="B100" s="164">
        <v>11</v>
      </c>
      <c r="C100" s="162" t="s">
        <v>145</v>
      </c>
      <c r="D100" s="164">
        <v>1</v>
      </c>
      <c r="E100" s="20">
        <v>0</v>
      </c>
      <c r="F100" s="20">
        <f>SUM(D100:E100)</f>
        <v>1</v>
      </c>
      <c r="G100" s="20">
        <v>1</v>
      </c>
      <c r="H100" s="20">
        <v>0</v>
      </c>
      <c r="I100" s="20">
        <f>SUM(G100:H100)</f>
        <v>1</v>
      </c>
      <c r="J100" s="20">
        <f>F100-I100</f>
        <v>0</v>
      </c>
      <c r="K100" s="20">
        <v>0</v>
      </c>
      <c r="L100" s="20">
        <f>J100</f>
        <v>0</v>
      </c>
      <c r="M100" s="20">
        <v>0</v>
      </c>
      <c r="N100" s="20">
        <v>0</v>
      </c>
      <c r="O100" s="20">
        <v>0</v>
      </c>
      <c r="P100" s="20">
        <f>SUM(I100,L100)</f>
        <v>1</v>
      </c>
      <c r="Q100" s="20"/>
      <c r="R100" s="20">
        <f>SUM(P100:Q100)</f>
        <v>1</v>
      </c>
    </row>
    <row r="101" spans="1:18" ht="18" customHeight="1">
      <c r="A101" s="114">
        <v>76</v>
      </c>
      <c r="B101" s="164">
        <v>9</v>
      </c>
      <c r="C101" s="162" t="s">
        <v>197</v>
      </c>
      <c r="D101" s="164">
        <v>1</v>
      </c>
      <c r="E101" s="20">
        <v>0</v>
      </c>
      <c r="F101" s="20">
        <f t="shared" si="64"/>
        <v>1</v>
      </c>
      <c r="G101" s="20">
        <v>1</v>
      </c>
      <c r="H101" s="20">
        <v>0</v>
      </c>
      <c r="I101" s="20">
        <f t="shared" si="65"/>
        <v>1</v>
      </c>
      <c r="J101" s="20">
        <f t="shared" si="66"/>
        <v>0</v>
      </c>
      <c r="K101" s="20">
        <v>0</v>
      </c>
      <c r="L101" s="20">
        <f t="shared" si="67"/>
        <v>0</v>
      </c>
      <c r="M101" s="20">
        <v>0</v>
      </c>
      <c r="N101" s="20">
        <v>0</v>
      </c>
      <c r="O101" s="20">
        <f t="shared" si="68"/>
        <v>0</v>
      </c>
      <c r="P101" s="20">
        <f t="shared" si="69"/>
        <v>1</v>
      </c>
      <c r="Q101" s="20"/>
      <c r="R101" s="20">
        <f t="shared" si="70"/>
        <v>1</v>
      </c>
    </row>
    <row r="102" spans="1:18" ht="18" customHeight="1">
      <c r="A102" s="114">
        <v>77</v>
      </c>
      <c r="B102" s="164" t="s">
        <v>201</v>
      </c>
      <c r="C102" s="162" t="s">
        <v>101</v>
      </c>
      <c r="D102" s="164">
        <v>1</v>
      </c>
      <c r="E102" s="20">
        <v>0</v>
      </c>
      <c r="F102" s="20">
        <f>SUM(D102:E102)</f>
        <v>1</v>
      </c>
      <c r="G102" s="20">
        <v>0</v>
      </c>
      <c r="H102" s="20">
        <v>0</v>
      </c>
      <c r="I102" s="20">
        <f>SUM(G102:H102)</f>
        <v>0</v>
      </c>
      <c r="J102" s="20">
        <f>F102-I102</f>
        <v>1</v>
      </c>
      <c r="K102" s="20">
        <v>0</v>
      </c>
      <c r="L102" s="20">
        <f>J102</f>
        <v>1</v>
      </c>
      <c r="M102" s="20">
        <v>1</v>
      </c>
      <c r="N102" s="20">
        <v>0</v>
      </c>
      <c r="O102" s="20">
        <f>SUM(M102:N102)</f>
        <v>1</v>
      </c>
      <c r="P102" s="20">
        <f>SUM(I102,L102)</f>
        <v>1</v>
      </c>
      <c r="Q102" s="20"/>
      <c r="R102" s="20">
        <f>SUM(P102:Q102)</f>
        <v>1</v>
      </c>
    </row>
    <row r="103" spans="1:18" ht="18" customHeight="1">
      <c r="A103" s="114">
        <v>78</v>
      </c>
      <c r="B103" s="164">
        <v>6</v>
      </c>
      <c r="C103" s="162" t="s">
        <v>199</v>
      </c>
      <c r="D103" s="164">
        <v>1</v>
      </c>
      <c r="E103" s="20">
        <v>0</v>
      </c>
      <c r="F103" s="20">
        <f>SUM(D103:E103)</f>
        <v>1</v>
      </c>
      <c r="G103" s="20">
        <v>1</v>
      </c>
      <c r="H103" s="20">
        <v>0</v>
      </c>
      <c r="I103" s="20">
        <f>SUM(G103:H103)</f>
        <v>1</v>
      </c>
      <c r="J103" s="20">
        <f>F103-I103</f>
        <v>0</v>
      </c>
      <c r="K103" s="20">
        <v>0</v>
      </c>
      <c r="L103" s="20">
        <f>J103</f>
        <v>0</v>
      </c>
      <c r="M103" s="20">
        <v>0</v>
      </c>
      <c r="N103" s="20">
        <v>0</v>
      </c>
      <c r="O103" s="20">
        <f>SUM(M103:N103)</f>
        <v>0</v>
      </c>
      <c r="P103" s="20">
        <f>SUM(I103,L103)</f>
        <v>1</v>
      </c>
      <c r="Q103" s="20"/>
      <c r="R103" s="20">
        <f>SUM(P103:Q103)</f>
        <v>1</v>
      </c>
    </row>
    <row r="104" spans="1:18" ht="18" customHeight="1">
      <c r="A104" s="114">
        <v>79</v>
      </c>
      <c r="B104" s="164">
        <v>8</v>
      </c>
      <c r="C104" s="162" t="s">
        <v>172</v>
      </c>
      <c r="D104" s="164">
        <v>2</v>
      </c>
      <c r="E104" s="20">
        <v>0</v>
      </c>
      <c r="F104" s="20">
        <f t="shared" si="64"/>
        <v>2</v>
      </c>
      <c r="G104" s="20">
        <v>1</v>
      </c>
      <c r="H104" s="20">
        <v>0</v>
      </c>
      <c r="I104" s="20">
        <f t="shared" si="65"/>
        <v>1</v>
      </c>
      <c r="J104" s="20">
        <f t="shared" si="66"/>
        <v>1</v>
      </c>
      <c r="K104" s="20">
        <v>0</v>
      </c>
      <c r="L104" s="20">
        <f t="shared" si="67"/>
        <v>1</v>
      </c>
      <c r="M104" s="20">
        <v>1</v>
      </c>
      <c r="N104" s="20">
        <v>0</v>
      </c>
      <c r="O104" s="20">
        <f t="shared" si="68"/>
        <v>1</v>
      </c>
      <c r="P104" s="20">
        <f t="shared" si="69"/>
        <v>2</v>
      </c>
      <c r="Q104" s="20"/>
      <c r="R104" s="20">
        <f t="shared" si="70"/>
        <v>2</v>
      </c>
    </row>
    <row r="105" spans="1:18" ht="18" customHeight="1">
      <c r="A105" s="114">
        <v>80</v>
      </c>
      <c r="B105" s="164">
        <v>7</v>
      </c>
      <c r="C105" s="169" t="s">
        <v>104</v>
      </c>
      <c r="D105" s="164">
        <v>2</v>
      </c>
      <c r="E105" s="20">
        <v>0</v>
      </c>
      <c r="F105" s="20">
        <f>SUM(D105:E105)</f>
        <v>2</v>
      </c>
      <c r="G105" s="20">
        <v>2</v>
      </c>
      <c r="H105" s="20">
        <v>0</v>
      </c>
      <c r="I105" s="20">
        <f>SUM(G105:H105)</f>
        <v>2</v>
      </c>
      <c r="J105" s="20">
        <f>F105-I105</f>
        <v>0</v>
      </c>
      <c r="K105" s="20">
        <v>0</v>
      </c>
      <c r="L105" s="20">
        <f>J105</f>
        <v>0</v>
      </c>
      <c r="M105" s="20">
        <v>0</v>
      </c>
      <c r="N105" s="20">
        <v>0</v>
      </c>
      <c r="O105" s="20">
        <f>SUM(M105:N105)</f>
        <v>0</v>
      </c>
      <c r="P105" s="20">
        <f>SUM(I105,L105)</f>
        <v>2</v>
      </c>
      <c r="Q105" s="20"/>
      <c r="R105" s="20">
        <f>SUM(P105:Q105)</f>
        <v>2</v>
      </c>
    </row>
    <row r="106" spans="1:18" ht="18" customHeight="1">
      <c r="A106" s="114">
        <v>81</v>
      </c>
      <c r="B106" s="165">
        <v>7</v>
      </c>
      <c r="C106" s="169" t="s">
        <v>163</v>
      </c>
      <c r="D106" s="164">
        <v>3</v>
      </c>
      <c r="E106" s="20">
        <v>0</v>
      </c>
      <c r="F106" s="20">
        <f>SUM(D106:E106)</f>
        <v>3</v>
      </c>
      <c r="G106" s="20">
        <v>3</v>
      </c>
      <c r="H106" s="20">
        <v>0</v>
      </c>
      <c r="I106" s="20">
        <f>SUM(G106:H106)</f>
        <v>3</v>
      </c>
      <c r="J106" s="20">
        <f>F106-I106</f>
        <v>0</v>
      </c>
      <c r="K106" s="20">
        <v>0</v>
      </c>
      <c r="L106" s="20">
        <f>J106</f>
        <v>0</v>
      </c>
      <c r="M106" s="20">
        <v>0</v>
      </c>
      <c r="N106" s="20">
        <v>0</v>
      </c>
      <c r="O106" s="20">
        <f>SUM(M106:N106)</f>
        <v>0</v>
      </c>
      <c r="P106" s="20">
        <f>SUM(I106,L106)</f>
        <v>3</v>
      </c>
      <c r="Q106" s="20"/>
      <c r="R106" s="20">
        <f>SUM(P106:Q106)</f>
        <v>3</v>
      </c>
    </row>
    <row r="107" spans="1:18" ht="18" customHeight="1">
      <c r="A107" s="114">
        <v>82</v>
      </c>
      <c r="B107" s="165">
        <v>6</v>
      </c>
      <c r="C107" s="169" t="s">
        <v>163</v>
      </c>
      <c r="D107" s="164">
        <v>1</v>
      </c>
      <c r="E107" s="20">
        <v>0</v>
      </c>
      <c r="F107" s="20">
        <f>SUM(D107:E107)</f>
        <v>1</v>
      </c>
      <c r="G107" s="20">
        <v>1</v>
      </c>
      <c r="H107" s="20">
        <v>0</v>
      </c>
      <c r="I107" s="20">
        <f>SUM(G107:H107)</f>
        <v>1</v>
      </c>
      <c r="J107" s="20">
        <f>F107-I107</f>
        <v>0</v>
      </c>
      <c r="K107" s="20">
        <v>0</v>
      </c>
      <c r="L107" s="20">
        <f>J107</f>
        <v>0</v>
      </c>
      <c r="M107" s="20">
        <v>0</v>
      </c>
      <c r="N107" s="20">
        <v>0</v>
      </c>
      <c r="O107" s="20">
        <f>SUM(M107:N107)</f>
        <v>0</v>
      </c>
      <c r="P107" s="20">
        <f>SUM(I107,L107)</f>
        <v>1</v>
      </c>
      <c r="Q107" s="20"/>
      <c r="R107" s="20">
        <f>SUM(P107:Q107)</f>
        <v>1</v>
      </c>
    </row>
    <row r="108" spans="1:18" ht="18" customHeight="1">
      <c r="A108" s="114">
        <v>83</v>
      </c>
      <c r="B108" s="164">
        <v>5</v>
      </c>
      <c r="C108" s="162" t="s">
        <v>164</v>
      </c>
      <c r="D108" s="164">
        <v>2</v>
      </c>
      <c r="E108" s="20">
        <v>0</v>
      </c>
      <c r="F108" s="20">
        <f>SUM(D108:E108)</f>
        <v>2</v>
      </c>
      <c r="G108" s="20">
        <v>2</v>
      </c>
      <c r="H108" s="20">
        <v>0</v>
      </c>
      <c r="I108" s="20">
        <f>SUM(G108:H108)</f>
        <v>2</v>
      </c>
      <c r="J108" s="20">
        <f>F108-I108</f>
        <v>0</v>
      </c>
      <c r="K108" s="20">
        <v>0</v>
      </c>
      <c r="L108" s="20">
        <f>J108</f>
        <v>0</v>
      </c>
      <c r="M108" s="20">
        <v>0</v>
      </c>
      <c r="N108" s="20">
        <v>0</v>
      </c>
      <c r="O108" s="20">
        <f>SUM(M108:N108)</f>
        <v>0</v>
      </c>
      <c r="P108" s="20">
        <f>SUM(I108,L108)</f>
        <v>2</v>
      </c>
      <c r="Q108" s="20"/>
      <c r="R108" s="20">
        <f>SUM(P108:Q108)</f>
        <v>2</v>
      </c>
    </row>
    <row r="109" spans="1:18" ht="18" customHeight="1">
      <c r="A109" s="114">
        <v>84</v>
      </c>
      <c r="B109" s="164">
        <v>5</v>
      </c>
      <c r="C109" s="162" t="s">
        <v>68</v>
      </c>
      <c r="D109" s="164">
        <v>3</v>
      </c>
      <c r="E109" s="20">
        <v>0</v>
      </c>
      <c r="F109" s="20">
        <f t="shared" si="64"/>
        <v>3</v>
      </c>
      <c r="G109" s="20">
        <v>1</v>
      </c>
      <c r="H109" s="20">
        <v>0</v>
      </c>
      <c r="I109" s="20">
        <f t="shared" si="65"/>
        <v>1</v>
      </c>
      <c r="J109" s="20">
        <f t="shared" si="66"/>
        <v>2</v>
      </c>
      <c r="K109" s="20">
        <v>0</v>
      </c>
      <c r="L109" s="20">
        <f t="shared" si="67"/>
        <v>2</v>
      </c>
      <c r="M109" s="20">
        <v>2</v>
      </c>
      <c r="N109" s="20">
        <v>0</v>
      </c>
      <c r="O109" s="20">
        <f t="shared" si="68"/>
        <v>2</v>
      </c>
      <c r="P109" s="20">
        <f t="shared" si="69"/>
        <v>3</v>
      </c>
      <c r="Q109" s="20"/>
      <c r="R109" s="20">
        <f t="shared" si="70"/>
        <v>3</v>
      </c>
    </row>
    <row r="110" spans="1:18" ht="18" customHeight="1">
      <c r="A110" s="114">
        <v>85</v>
      </c>
      <c r="B110" s="164">
        <v>6</v>
      </c>
      <c r="C110" s="162" t="s">
        <v>198</v>
      </c>
      <c r="D110" s="164">
        <v>4</v>
      </c>
      <c r="E110" s="20">
        <v>0</v>
      </c>
      <c r="F110" s="20">
        <f t="shared" si="64"/>
        <v>4</v>
      </c>
      <c r="G110" s="20">
        <v>2</v>
      </c>
      <c r="H110" s="20">
        <v>0</v>
      </c>
      <c r="I110" s="20">
        <f t="shared" si="65"/>
        <v>2</v>
      </c>
      <c r="J110" s="20">
        <f t="shared" si="66"/>
        <v>2</v>
      </c>
      <c r="K110" s="20">
        <v>0</v>
      </c>
      <c r="L110" s="20">
        <f t="shared" si="67"/>
        <v>2</v>
      </c>
      <c r="M110" s="20">
        <v>2</v>
      </c>
      <c r="N110" s="20">
        <v>0</v>
      </c>
      <c r="O110" s="20">
        <f t="shared" si="68"/>
        <v>2</v>
      </c>
      <c r="P110" s="20">
        <f t="shared" si="69"/>
        <v>4</v>
      </c>
      <c r="Q110" s="20"/>
      <c r="R110" s="20">
        <f t="shared" si="70"/>
        <v>4</v>
      </c>
    </row>
    <row r="111" spans="1:18" ht="29.25" customHeight="1">
      <c r="A111" s="114">
        <v>86</v>
      </c>
      <c r="B111" s="164">
        <v>2</v>
      </c>
      <c r="C111" s="162" t="s">
        <v>240</v>
      </c>
      <c r="D111" s="164">
        <v>2</v>
      </c>
      <c r="E111" s="20">
        <v>0</v>
      </c>
      <c r="F111" s="20">
        <f t="shared" si="64"/>
        <v>2</v>
      </c>
      <c r="G111" s="20">
        <v>2</v>
      </c>
      <c r="H111" s="20">
        <v>0</v>
      </c>
      <c r="I111" s="20">
        <f t="shared" si="65"/>
        <v>2</v>
      </c>
      <c r="J111" s="20">
        <f t="shared" si="66"/>
        <v>0</v>
      </c>
      <c r="K111" s="20">
        <v>0</v>
      </c>
      <c r="L111" s="20">
        <f t="shared" si="67"/>
        <v>0</v>
      </c>
      <c r="M111" s="20">
        <v>0</v>
      </c>
      <c r="N111" s="20">
        <v>0</v>
      </c>
      <c r="O111" s="20">
        <v>0</v>
      </c>
      <c r="P111" s="20">
        <f t="shared" si="69"/>
        <v>2</v>
      </c>
      <c r="Q111" s="20"/>
      <c r="R111" s="20">
        <f t="shared" si="70"/>
        <v>2</v>
      </c>
    </row>
    <row r="112" spans="1:18" ht="23.25" customHeight="1">
      <c r="A112" s="114">
        <v>87</v>
      </c>
      <c r="B112" s="164">
        <v>5</v>
      </c>
      <c r="C112" s="169" t="s">
        <v>104</v>
      </c>
      <c r="D112" s="164">
        <v>3</v>
      </c>
      <c r="E112" s="20">
        <v>0</v>
      </c>
      <c r="F112" s="20">
        <f t="shared" si="64"/>
        <v>3</v>
      </c>
      <c r="G112" s="20">
        <v>0</v>
      </c>
      <c r="H112" s="20">
        <v>0</v>
      </c>
      <c r="I112" s="20">
        <f t="shared" si="65"/>
        <v>0</v>
      </c>
      <c r="J112" s="20">
        <f t="shared" si="66"/>
        <v>3</v>
      </c>
      <c r="K112" s="20">
        <v>0</v>
      </c>
      <c r="L112" s="20">
        <f t="shared" si="67"/>
        <v>3</v>
      </c>
      <c r="M112" s="20">
        <v>3</v>
      </c>
      <c r="N112" s="20">
        <v>0</v>
      </c>
      <c r="O112" s="20">
        <f t="shared" si="68"/>
        <v>3</v>
      </c>
      <c r="P112" s="20">
        <f t="shared" si="69"/>
        <v>3</v>
      </c>
      <c r="Q112" s="20"/>
      <c r="R112" s="20">
        <f t="shared" si="70"/>
        <v>3</v>
      </c>
    </row>
    <row r="113" spans="1:18" ht="18" customHeight="1">
      <c r="A113" s="114">
        <v>88</v>
      </c>
      <c r="B113" s="164">
        <v>5</v>
      </c>
      <c r="C113" s="162" t="s">
        <v>157</v>
      </c>
      <c r="D113" s="164">
        <v>1</v>
      </c>
      <c r="E113" s="20">
        <v>0</v>
      </c>
      <c r="F113" s="20">
        <f t="shared" si="64"/>
        <v>1</v>
      </c>
      <c r="G113" s="20">
        <v>0</v>
      </c>
      <c r="H113" s="20">
        <v>0</v>
      </c>
      <c r="I113" s="20">
        <f t="shared" si="65"/>
        <v>0</v>
      </c>
      <c r="J113" s="20">
        <f t="shared" si="66"/>
        <v>1</v>
      </c>
      <c r="K113" s="20">
        <v>0</v>
      </c>
      <c r="L113" s="20">
        <f t="shared" si="67"/>
        <v>1</v>
      </c>
      <c r="M113" s="20">
        <v>1</v>
      </c>
      <c r="N113" s="20">
        <v>0</v>
      </c>
      <c r="O113" s="20">
        <f t="shared" si="68"/>
        <v>1</v>
      </c>
      <c r="P113" s="20">
        <f t="shared" si="69"/>
        <v>1</v>
      </c>
      <c r="Q113" s="20"/>
      <c r="R113" s="20">
        <f t="shared" si="70"/>
        <v>1</v>
      </c>
    </row>
    <row r="114" spans="1:18" ht="18" customHeight="1">
      <c r="A114" s="114">
        <v>89</v>
      </c>
      <c r="B114" s="164">
        <v>5</v>
      </c>
      <c r="C114" s="162" t="s">
        <v>12</v>
      </c>
      <c r="D114" s="164">
        <v>1</v>
      </c>
      <c r="E114" s="20">
        <v>0</v>
      </c>
      <c r="F114" s="20">
        <f t="shared" si="64"/>
        <v>1</v>
      </c>
      <c r="G114" s="20">
        <v>1</v>
      </c>
      <c r="H114" s="20">
        <v>0</v>
      </c>
      <c r="I114" s="20">
        <f t="shared" si="65"/>
        <v>1</v>
      </c>
      <c r="J114" s="20">
        <f t="shared" si="66"/>
        <v>0</v>
      </c>
      <c r="K114" s="20">
        <v>0</v>
      </c>
      <c r="L114" s="20">
        <f t="shared" si="67"/>
        <v>0</v>
      </c>
      <c r="M114" s="20">
        <v>0</v>
      </c>
      <c r="N114" s="20">
        <v>0</v>
      </c>
      <c r="O114" s="20">
        <f t="shared" si="68"/>
        <v>0</v>
      </c>
      <c r="P114" s="20">
        <f t="shared" si="69"/>
        <v>1</v>
      </c>
      <c r="Q114" s="20"/>
      <c r="R114" s="20">
        <f t="shared" si="70"/>
        <v>1</v>
      </c>
    </row>
    <row r="115" spans="1:18" ht="18" customHeight="1">
      <c r="A115" s="114">
        <v>90</v>
      </c>
      <c r="B115" s="164">
        <v>5</v>
      </c>
      <c r="C115" s="162" t="s">
        <v>176</v>
      </c>
      <c r="D115" s="164">
        <v>4</v>
      </c>
      <c r="E115" s="20">
        <v>0</v>
      </c>
      <c r="F115" s="20">
        <f t="shared" si="64"/>
        <v>4</v>
      </c>
      <c r="G115" s="20">
        <v>3</v>
      </c>
      <c r="H115" s="20">
        <v>0</v>
      </c>
      <c r="I115" s="20">
        <f t="shared" si="65"/>
        <v>3</v>
      </c>
      <c r="J115" s="20">
        <f t="shared" si="66"/>
        <v>1</v>
      </c>
      <c r="K115" s="20">
        <v>0</v>
      </c>
      <c r="L115" s="20">
        <f t="shared" si="67"/>
        <v>1</v>
      </c>
      <c r="M115" s="20">
        <v>1</v>
      </c>
      <c r="N115" s="20">
        <v>0</v>
      </c>
      <c r="O115" s="20">
        <f t="shared" si="68"/>
        <v>1</v>
      </c>
      <c r="P115" s="20">
        <f t="shared" si="69"/>
        <v>4</v>
      </c>
      <c r="Q115" s="20"/>
      <c r="R115" s="20">
        <f t="shared" si="70"/>
        <v>4</v>
      </c>
    </row>
    <row r="116" spans="1:18" ht="18" customHeight="1">
      <c r="A116" s="114">
        <v>91</v>
      </c>
      <c r="B116" s="164">
        <v>1</v>
      </c>
      <c r="C116" s="162" t="s">
        <v>103</v>
      </c>
      <c r="D116" s="164">
        <v>2</v>
      </c>
      <c r="E116" s="20">
        <v>0</v>
      </c>
      <c r="F116" s="20">
        <f>SUM(D116:E116)</f>
        <v>2</v>
      </c>
      <c r="G116" s="20">
        <v>2</v>
      </c>
      <c r="H116" s="20">
        <v>0</v>
      </c>
      <c r="I116" s="20">
        <f t="shared" ref="I116:I123" si="71">SUM(G116:H116)</f>
        <v>2</v>
      </c>
      <c r="J116" s="20">
        <f>F116-I116</f>
        <v>0</v>
      </c>
      <c r="K116" s="20">
        <v>0</v>
      </c>
      <c r="L116" s="20">
        <f>J116</f>
        <v>0</v>
      </c>
      <c r="M116" s="20">
        <v>0</v>
      </c>
      <c r="N116" s="20">
        <v>0</v>
      </c>
      <c r="O116" s="20">
        <f>SUM(M116:N116)</f>
        <v>0</v>
      </c>
      <c r="P116" s="20">
        <f>SUM(I116,L116)</f>
        <v>2</v>
      </c>
      <c r="Q116" s="20"/>
      <c r="R116" s="20">
        <f>SUM(P116:Q116)</f>
        <v>2</v>
      </c>
    </row>
    <row r="117" spans="1:18" ht="20.100000000000001" customHeight="1">
      <c r="A117" s="114">
        <v>92</v>
      </c>
      <c r="B117" s="164">
        <v>6</v>
      </c>
      <c r="C117" s="162" t="s">
        <v>190</v>
      </c>
      <c r="D117" s="164">
        <v>0</v>
      </c>
      <c r="E117" s="19">
        <v>1</v>
      </c>
      <c r="F117" s="19">
        <f>SUM(D117:E117)</f>
        <v>1</v>
      </c>
      <c r="G117" s="19">
        <v>0</v>
      </c>
      <c r="H117" s="19">
        <v>0</v>
      </c>
      <c r="I117" s="19">
        <f t="shared" si="71"/>
        <v>0</v>
      </c>
      <c r="J117" s="19">
        <v>0</v>
      </c>
      <c r="K117" s="19">
        <v>1</v>
      </c>
      <c r="L117" s="19">
        <v>1</v>
      </c>
      <c r="M117" s="19">
        <v>0</v>
      </c>
      <c r="N117" s="19">
        <v>1</v>
      </c>
      <c r="O117" s="19">
        <f>SUM(M117:N117)</f>
        <v>1</v>
      </c>
      <c r="P117" s="19">
        <v>0</v>
      </c>
      <c r="Q117" s="19">
        <v>1</v>
      </c>
      <c r="R117" s="19">
        <f>SUM(P117:Q117)</f>
        <v>1</v>
      </c>
    </row>
    <row r="118" spans="1:18" ht="20.100000000000001" customHeight="1">
      <c r="A118" s="114">
        <v>93</v>
      </c>
      <c r="B118" s="164">
        <v>4</v>
      </c>
      <c r="C118" s="162" t="s">
        <v>190</v>
      </c>
      <c r="D118" s="164">
        <v>0</v>
      </c>
      <c r="E118" s="19">
        <v>1</v>
      </c>
      <c r="F118" s="19">
        <f>SUM(D118:E118)</f>
        <v>1</v>
      </c>
      <c r="G118" s="19">
        <v>0</v>
      </c>
      <c r="H118" s="19">
        <v>1</v>
      </c>
      <c r="I118" s="19">
        <f t="shared" si="71"/>
        <v>1</v>
      </c>
      <c r="J118" s="19">
        <f>F118-I118</f>
        <v>0</v>
      </c>
      <c r="K118" s="19">
        <v>0</v>
      </c>
      <c r="L118" s="19">
        <f>J118</f>
        <v>0</v>
      </c>
      <c r="M118" s="19">
        <v>0</v>
      </c>
      <c r="N118" s="19">
        <v>0</v>
      </c>
      <c r="O118" s="19">
        <f>SUM(M118:N118)</f>
        <v>0</v>
      </c>
      <c r="P118" s="19">
        <v>0</v>
      </c>
      <c r="Q118" s="19">
        <v>1</v>
      </c>
      <c r="R118" s="19">
        <f>SUM(P118:Q118)</f>
        <v>1</v>
      </c>
    </row>
    <row r="119" spans="1:18" ht="20.100000000000001" customHeight="1">
      <c r="A119" s="114">
        <v>94</v>
      </c>
      <c r="B119" s="164">
        <v>1</v>
      </c>
      <c r="C119" s="162" t="s">
        <v>190</v>
      </c>
      <c r="D119" s="164">
        <v>2</v>
      </c>
      <c r="E119" s="19">
        <v>0</v>
      </c>
      <c r="F119" s="19">
        <f>SUM(D119:E119)</f>
        <v>2</v>
      </c>
      <c r="G119" s="19">
        <v>0</v>
      </c>
      <c r="H119" s="19">
        <v>1</v>
      </c>
      <c r="I119" s="19">
        <f t="shared" si="71"/>
        <v>1</v>
      </c>
      <c r="J119" s="19">
        <f>F119-I119</f>
        <v>1</v>
      </c>
      <c r="K119" s="19">
        <v>0</v>
      </c>
      <c r="L119" s="19">
        <f>J119</f>
        <v>1</v>
      </c>
      <c r="M119" s="19">
        <v>1</v>
      </c>
      <c r="N119" s="19">
        <v>0</v>
      </c>
      <c r="O119" s="19">
        <f>SUM(M119:N119)</f>
        <v>1</v>
      </c>
      <c r="P119" s="19">
        <v>2</v>
      </c>
      <c r="Q119" s="19">
        <v>0</v>
      </c>
      <c r="R119" s="19">
        <f>SUM(P119:Q119)</f>
        <v>2</v>
      </c>
    </row>
    <row r="120" spans="1:18" ht="18" customHeight="1">
      <c r="A120" s="114">
        <v>95</v>
      </c>
      <c r="B120" s="164">
        <v>5</v>
      </c>
      <c r="C120" s="162" t="s">
        <v>184</v>
      </c>
      <c r="D120" s="164">
        <v>2</v>
      </c>
      <c r="E120" s="20">
        <v>0</v>
      </c>
      <c r="F120" s="20">
        <v>2</v>
      </c>
      <c r="G120" s="20">
        <v>2</v>
      </c>
      <c r="H120" s="20">
        <v>0</v>
      </c>
      <c r="I120" s="20">
        <f t="shared" si="71"/>
        <v>2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2</v>
      </c>
      <c r="Q120" s="20">
        <v>0</v>
      </c>
      <c r="R120" s="20">
        <v>2</v>
      </c>
    </row>
    <row r="121" spans="1:18" ht="20.100000000000001" customHeight="1">
      <c r="A121" s="114">
        <v>96</v>
      </c>
      <c r="B121" s="166">
        <v>4</v>
      </c>
      <c r="C121" s="162" t="s">
        <v>184</v>
      </c>
      <c r="D121" s="164">
        <v>2</v>
      </c>
      <c r="E121" s="20">
        <v>0</v>
      </c>
      <c r="F121" s="20">
        <f>SUM(D121:E121)</f>
        <v>2</v>
      </c>
      <c r="G121" s="20">
        <v>2</v>
      </c>
      <c r="H121" s="20">
        <v>0</v>
      </c>
      <c r="I121" s="20">
        <f>SUM(G121:H121)</f>
        <v>2</v>
      </c>
      <c r="J121" s="20">
        <f>F121-I121</f>
        <v>0</v>
      </c>
      <c r="K121" s="20">
        <v>0</v>
      </c>
      <c r="L121" s="20">
        <f>J121</f>
        <v>0</v>
      </c>
      <c r="M121" s="20">
        <v>0</v>
      </c>
      <c r="N121" s="20">
        <v>0</v>
      </c>
      <c r="O121" s="20">
        <f>SUM(M121:N121)</f>
        <v>0</v>
      </c>
      <c r="P121" s="20">
        <f>SUM(I121,L121)</f>
        <v>2</v>
      </c>
      <c r="Q121" s="20"/>
      <c r="R121" s="20">
        <f>SUM(P121:Q121)</f>
        <v>2</v>
      </c>
    </row>
    <row r="122" spans="1:18" ht="27" customHeight="1">
      <c r="A122" s="114">
        <v>97</v>
      </c>
      <c r="B122" s="164">
        <v>4</v>
      </c>
      <c r="C122" s="162" t="s">
        <v>235</v>
      </c>
      <c r="D122" s="164">
        <v>1</v>
      </c>
      <c r="E122" s="19">
        <v>0</v>
      </c>
      <c r="F122" s="19">
        <f>SUM(D122:E122)</f>
        <v>1</v>
      </c>
      <c r="G122" s="19">
        <v>1</v>
      </c>
      <c r="H122" s="19">
        <v>0</v>
      </c>
      <c r="I122" s="19">
        <f>SUM(G122:H122)</f>
        <v>1</v>
      </c>
      <c r="J122" s="19">
        <f>F122-I122</f>
        <v>0</v>
      </c>
      <c r="K122" s="19">
        <v>0</v>
      </c>
      <c r="L122" s="19">
        <f>J122</f>
        <v>0</v>
      </c>
      <c r="M122" s="19">
        <v>0</v>
      </c>
      <c r="N122" s="19">
        <v>0</v>
      </c>
      <c r="O122" s="19">
        <f>SUM(M122:N122)</f>
        <v>0</v>
      </c>
      <c r="P122" s="19">
        <f>SUM(I122,L122)</f>
        <v>1</v>
      </c>
      <c r="Q122" s="19"/>
      <c r="R122" s="19">
        <f>SUM(P122:Q122)</f>
        <v>1</v>
      </c>
    </row>
    <row r="123" spans="1:18" ht="18" customHeight="1">
      <c r="A123" s="114">
        <v>98</v>
      </c>
      <c r="B123" s="164">
        <v>3</v>
      </c>
      <c r="C123" s="162" t="s">
        <v>158</v>
      </c>
      <c r="D123" s="164">
        <v>2</v>
      </c>
      <c r="E123" s="20">
        <v>0</v>
      </c>
      <c r="F123" s="20">
        <f>SUM(D123:E123)</f>
        <v>2</v>
      </c>
      <c r="G123" s="20">
        <v>2</v>
      </c>
      <c r="H123" s="20">
        <v>0</v>
      </c>
      <c r="I123" s="20">
        <f t="shared" si="71"/>
        <v>2</v>
      </c>
      <c r="J123" s="20">
        <f>F123-I123</f>
        <v>0</v>
      </c>
      <c r="K123" s="20">
        <v>0</v>
      </c>
      <c r="L123" s="20">
        <f>J123</f>
        <v>0</v>
      </c>
      <c r="M123" s="20">
        <v>0</v>
      </c>
      <c r="N123" s="20">
        <v>0</v>
      </c>
      <c r="O123" s="20">
        <f>SUM(M123:N123)</f>
        <v>0</v>
      </c>
      <c r="P123" s="20">
        <f>SUM(I123,L123)</f>
        <v>2</v>
      </c>
      <c r="Q123" s="20"/>
      <c r="R123" s="20">
        <f>SUM(P123:Q123)</f>
        <v>2</v>
      </c>
    </row>
    <row r="124" spans="1:18" ht="18" customHeight="1">
      <c r="A124" s="114">
        <v>99</v>
      </c>
      <c r="B124" s="164">
        <v>3</v>
      </c>
      <c r="C124" s="162" t="s">
        <v>161</v>
      </c>
      <c r="D124" s="164">
        <v>1</v>
      </c>
      <c r="E124" s="20">
        <v>0</v>
      </c>
      <c r="F124" s="20">
        <v>1</v>
      </c>
      <c r="G124" s="20">
        <v>0</v>
      </c>
      <c r="H124" s="20">
        <v>0</v>
      </c>
      <c r="I124" s="20">
        <v>0</v>
      </c>
      <c r="J124" s="20">
        <v>1</v>
      </c>
      <c r="K124" s="20">
        <v>0</v>
      </c>
      <c r="L124" s="20">
        <v>1</v>
      </c>
      <c r="M124" s="20">
        <v>1</v>
      </c>
      <c r="N124" s="20">
        <v>0</v>
      </c>
      <c r="O124" s="20">
        <v>1</v>
      </c>
      <c r="P124" s="20">
        <v>1</v>
      </c>
      <c r="Q124" s="20">
        <v>0</v>
      </c>
      <c r="R124" s="20">
        <v>1</v>
      </c>
    </row>
    <row r="125" spans="1:18" ht="18" customHeight="1">
      <c r="A125" s="114">
        <v>100</v>
      </c>
      <c r="B125" s="164">
        <v>3</v>
      </c>
      <c r="C125" s="162" t="s">
        <v>13</v>
      </c>
      <c r="D125" s="164">
        <v>1</v>
      </c>
      <c r="E125" s="20">
        <v>0</v>
      </c>
      <c r="F125" s="20">
        <f>SUM(D125:E125)</f>
        <v>1</v>
      </c>
      <c r="G125" s="20">
        <v>1</v>
      </c>
      <c r="H125" s="20">
        <v>0</v>
      </c>
      <c r="I125" s="20">
        <f>SUM(G125:H125)</f>
        <v>1</v>
      </c>
      <c r="J125" s="20">
        <f>F125-I125</f>
        <v>0</v>
      </c>
      <c r="K125" s="20">
        <v>0</v>
      </c>
      <c r="L125" s="20">
        <f>J125</f>
        <v>0</v>
      </c>
      <c r="M125" s="20">
        <v>0</v>
      </c>
      <c r="N125" s="20">
        <v>0</v>
      </c>
      <c r="O125" s="20">
        <f>SUM(M125:N125)</f>
        <v>0</v>
      </c>
      <c r="P125" s="20">
        <f>SUM(I125,L125)</f>
        <v>1</v>
      </c>
      <c r="Q125" s="20"/>
      <c r="R125" s="20">
        <f>SUM(P125:Q125)</f>
        <v>1</v>
      </c>
    </row>
    <row r="126" spans="1:18" ht="18" customHeight="1">
      <c r="A126" s="114">
        <v>101</v>
      </c>
      <c r="B126" s="165">
        <v>3</v>
      </c>
      <c r="C126" s="169" t="s">
        <v>167</v>
      </c>
      <c r="D126" s="164">
        <v>1</v>
      </c>
      <c r="E126" s="20">
        <v>0</v>
      </c>
      <c r="F126" s="20">
        <f t="shared" ref="F126" si="72">SUM(D126:E126)</f>
        <v>1</v>
      </c>
      <c r="G126" s="20">
        <v>0</v>
      </c>
      <c r="H126" s="20">
        <v>0</v>
      </c>
      <c r="I126" s="20">
        <f t="shared" ref="I126" si="73">SUM(G126:H126)</f>
        <v>0</v>
      </c>
      <c r="J126" s="20">
        <f t="shared" ref="J126" si="74">F126-I126</f>
        <v>1</v>
      </c>
      <c r="K126" s="20">
        <v>0</v>
      </c>
      <c r="L126" s="20">
        <f t="shared" ref="L126" si="75">J126</f>
        <v>1</v>
      </c>
      <c r="M126" s="20">
        <v>1</v>
      </c>
      <c r="N126" s="20">
        <v>0</v>
      </c>
      <c r="O126" s="20">
        <f t="shared" ref="O126" si="76">SUM(M126:N126)</f>
        <v>1</v>
      </c>
      <c r="P126" s="20">
        <f t="shared" ref="P126" si="77">SUM(I126,L126)</f>
        <v>1</v>
      </c>
      <c r="Q126" s="20"/>
      <c r="R126" s="20">
        <f t="shared" ref="R126" si="78">SUM(P126:Q126)</f>
        <v>1</v>
      </c>
    </row>
    <row r="127" spans="1:18" ht="18" customHeight="1">
      <c r="A127" s="114">
        <v>102</v>
      </c>
      <c r="B127" s="165">
        <v>2</v>
      </c>
      <c r="C127" s="169" t="s">
        <v>167</v>
      </c>
      <c r="D127" s="164">
        <v>3</v>
      </c>
      <c r="E127" s="20">
        <v>0</v>
      </c>
      <c r="F127" s="20">
        <f t="shared" si="64"/>
        <v>3</v>
      </c>
      <c r="G127" s="20">
        <v>3</v>
      </c>
      <c r="H127" s="20">
        <v>0</v>
      </c>
      <c r="I127" s="20">
        <f t="shared" si="65"/>
        <v>3</v>
      </c>
      <c r="J127" s="20">
        <f t="shared" si="66"/>
        <v>0</v>
      </c>
      <c r="K127" s="20">
        <v>0</v>
      </c>
      <c r="L127" s="20">
        <f t="shared" si="67"/>
        <v>0</v>
      </c>
      <c r="M127" s="20">
        <v>0</v>
      </c>
      <c r="N127" s="20">
        <v>0</v>
      </c>
      <c r="O127" s="20">
        <f t="shared" si="68"/>
        <v>0</v>
      </c>
      <c r="P127" s="20">
        <f t="shared" si="69"/>
        <v>3</v>
      </c>
      <c r="Q127" s="20"/>
      <c r="R127" s="20">
        <f t="shared" si="70"/>
        <v>3</v>
      </c>
    </row>
    <row r="128" spans="1:18" ht="18" customHeight="1">
      <c r="A128" s="114">
        <v>103</v>
      </c>
      <c r="B128" s="164">
        <v>2</v>
      </c>
      <c r="C128" s="162" t="s">
        <v>19</v>
      </c>
      <c r="D128" s="164">
        <v>5</v>
      </c>
      <c r="E128" s="20">
        <v>0</v>
      </c>
      <c r="F128" s="20">
        <f>SUM(D128:E128)</f>
        <v>5</v>
      </c>
      <c r="G128" s="20">
        <v>5</v>
      </c>
      <c r="H128" s="20">
        <v>0</v>
      </c>
      <c r="I128" s="20">
        <f>SUM(G128:H128)</f>
        <v>5</v>
      </c>
      <c r="J128" s="20">
        <v>0</v>
      </c>
      <c r="K128" s="20">
        <v>0</v>
      </c>
      <c r="L128" s="20">
        <f>J128</f>
        <v>0</v>
      </c>
      <c r="M128" s="20">
        <v>0</v>
      </c>
      <c r="N128" s="20">
        <v>0</v>
      </c>
      <c r="O128" s="20">
        <f>SUM(M128:N128)</f>
        <v>0</v>
      </c>
      <c r="P128" s="20">
        <f>SUM(I128,L128)</f>
        <v>5</v>
      </c>
      <c r="Q128" s="20"/>
      <c r="R128" s="20">
        <f>SUM(P128:Q128)</f>
        <v>5</v>
      </c>
    </row>
    <row r="129" spans="1:18" ht="18" customHeight="1">
      <c r="A129" s="114">
        <v>104</v>
      </c>
      <c r="B129" s="164">
        <v>2</v>
      </c>
      <c r="C129" s="169" t="s">
        <v>13</v>
      </c>
      <c r="D129" s="164">
        <v>1</v>
      </c>
      <c r="E129" s="20">
        <v>0</v>
      </c>
      <c r="F129" s="20">
        <f>SUM(D129:E129)</f>
        <v>1</v>
      </c>
      <c r="G129" s="20">
        <v>1</v>
      </c>
      <c r="H129" s="20">
        <v>0</v>
      </c>
      <c r="I129" s="20">
        <f>SUM(G129:H129)</f>
        <v>1</v>
      </c>
      <c r="J129" s="20">
        <f>F129-I129</f>
        <v>0</v>
      </c>
      <c r="K129" s="20">
        <v>0</v>
      </c>
      <c r="L129" s="20">
        <f>J129</f>
        <v>0</v>
      </c>
      <c r="M129" s="20">
        <v>0</v>
      </c>
      <c r="N129" s="20">
        <v>0</v>
      </c>
      <c r="O129" s="20">
        <f>SUM(M129:N129)</f>
        <v>0</v>
      </c>
      <c r="P129" s="20">
        <f>SUM(I129,L129)</f>
        <v>1</v>
      </c>
      <c r="Q129" s="20"/>
      <c r="R129" s="20">
        <f>SUM(P129:Q129)</f>
        <v>1</v>
      </c>
    </row>
    <row r="130" spans="1:18" ht="27.75" customHeight="1">
      <c r="A130" s="114">
        <v>105</v>
      </c>
      <c r="B130" s="164">
        <v>1</v>
      </c>
      <c r="C130" s="162" t="s">
        <v>146</v>
      </c>
      <c r="D130" s="164">
        <v>1</v>
      </c>
      <c r="E130" s="20">
        <v>0</v>
      </c>
      <c r="F130" s="20">
        <f>SUM(D130:E130)</f>
        <v>1</v>
      </c>
      <c r="G130" s="20">
        <v>1</v>
      </c>
      <c r="H130" s="20">
        <v>0</v>
      </c>
      <c r="I130" s="20">
        <f>SUM(G130:H130)</f>
        <v>1</v>
      </c>
      <c r="J130" s="20">
        <f>F130-I130</f>
        <v>0</v>
      </c>
      <c r="K130" s="20">
        <v>0</v>
      </c>
      <c r="L130" s="20">
        <f>J130</f>
        <v>0</v>
      </c>
      <c r="M130" s="20">
        <v>0</v>
      </c>
      <c r="N130" s="20">
        <v>0</v>
      </c>
      <c r="O130" s="20">
        <v>0</v>
      </c>
      <c r="P130" s="20">
        <f>SUM(I130,L130)</f>
        <v>1</v>
      </c>
      <c r="Q130" s="20"/>
      <c r="R130" s="20">
        <f>SUM(P130:Q130)</f>
        <v>1</v>
      </c>
    </row>
    <row r="131" spans="1:18" ht="18" customHeight="1">
      <c r="A131" s="114">
        <v>106</v>
      </c>
      <c r="B131" s="165">
        <v>1</v>
      </c>
      <c r="C131" s="169" t="s">
        <v>167</v>
      </c>
      <c r="D131" s="164">
        <v>5</v>
      </c>
      <c r="E131" s="20">
        <v>0</v>
      </c>
      <c r="F131" s="20">
        <f t="shared" ref="F131" si="79">SUM(D131:E131)</f>
        <v>5</v>
      </c>
      <c r="G131" s="20">
        <v>3</v>
      </c>
      <c r="H131" s="20">
        <v>0</v>
      </c>
      <c r="I131" s="20">
        <f t="shared" ref="I131" si="80">SUM(G131:H131)</f>
        <v>3</v>
      </c>
      <c r="J131" s="20">
        <f t="shared" ref="J131" si="81">F131-I131</f>
        <v>2</v>
      </c>
      <c r="K131" s="20">
        <v>0</v>
      </c>
      <c r="L131" s="20">
        <f t="shared" ref="L131" si="82">J131</f>
        <v>2</v>
      </c>
      <c r="M131" s="20">
        <v>2</v>
      </c>
      <c r="N131" s="20">
        <v>0</v>
      </c>
      <c r="O131" s="20">
        <f t="shared" ref="O131" si="83">SUM(M131:N131)</f>
        <v>2</v>
      </c>
      <c r="P131" s="20">
        <f t="shared" ref="P131" si="84">SUM(I131,L131)</f>
        <v>5</v>
      </c>
      <c r="Q131" s="20"/>
      <c r="R131" s="20">
        <f t="shared" ref="R131" si="85">SUM(P131:Q131)</f>
        <v>5</v>
      </c>
    </row>
    <row r="132" spans="1:18" ht="25.5" customHeight="1">
      <c r="A132" s="114">
        <v>107</v>
      </c>
      <c r="B132" s="164">
        <v>1</v>
      </c>
      <c r="C132" s="162" t="s">
        <v>236</v>
      </c>
      <c r="D132" s="164">
        <v>2</v>
      </c>
      <c r="E132" s="19">
        <v>0</v>
      </c>
      <c r="F132" s="19">
        <f>SUM(D132:E132)</f>
        <v>2</v>
      </c>
      <c r="G132" s="19">
        <v>2</v>
      </c>
      <c r="H132" s="19">
        <v>0</v>
      </c>
      <c r="I132" s="19">
        <f t="shared" ref="I132" si="86">SUM(G132:H132)</f>
        <v>2</v>
      </c>
      <c r="J132" s="19">
        <f t="shared" ref="J132" si="87">F132-I132</f>
        <v>0</v>
      </c>
      <c r="K132" s="19">
        <v>0</v>
      </c>
      <c r="L132" s="19">
        <f t="shared" ref="L132" si="88">J132</f>
        <v>0</v>
      </c>
      <c r="M132" s="19">
        <v>0</v>
      </c>
      <c r="N132" s="19">
        <v>0</v>
      </c>
      <c r="O132" s="19">
        <f t="shared" ref="O132" si="89">SUM(M132:N132)</f>
        <v>0</v>
      </c>
      <c r="P132" s="19">
        <f t="shared" ref="P132" si="90">SUM(I132,L132)</f>
        <v>2</v>
      </c>
      <c r="Q132" s="19"/>
      <c r="R132" s="19">
        <f t="shared" ref="R132" si="91">SUM(P132:Q132)</f>
        <v>2</v>
      </c>
    </row>
    <row r="133" spans="1:18" ht="21.75" customHeight="1">
      <c r="A133" s="114">
        <v>108</v>
      </c>
      <c r="B133" s="165">
        <v>1</v>
      </c>
      <c r="C133" s="162" t="s">
        <v>236</v>
      </c>
      <c r="D133" s="164">
        <v>1</v>
      </c>
      <c r="E133" s="20">
        <v>0</v>
      </c>
      <c r="F133" s="20">
        <v>1</v>
      </c>
      <c r="G133" s="20">
        <v>1</v>
      </c>
      <c r="H133" s="20">
        <v>0</v>
      </c>
      <c r="I133" s="20">
        <f t="shared" si="65"/>
        <v>1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1</v>
      </c>
      <c r="Q133" s="20"/>
      <c r="R133" s="20">
        <v>1</v>
      </c>
    </row>
    <row r="134" spans="1:18" ht="18" customHeight="1">
      <c r="A134" s="114">
        <v>109</v>
      </c>
      <c r="B134" s="164">
        <v>1</v>
      </c>
      <c r="C134" s="162" t="s">
        <v>177</v>
      </c>
      <c r="D134" s="164">
        <v>8</v>
      </c>
      <c r="E134" s="20">
        <v>0</v>
      </c>
      <c r="F134" s="20">
        <f t="shared" ref="F134:F141" si="92">SUM(D134:E134)</f>
        <v>8</v>
      </c>
      <c r="G134" s="20">
        <v>4</v>
      </c>
      <c r="H134" s="20">
        <v>0</v>
      </c>
      <c r="I134" s="20">
        <f t="shared" ref="I134:I141" si="93">SUM(G134:H134)</f>
        <v>4</v>
      </c>
      <c r="J134" s="20">
        <f t="shared" ref="J134:J139" si="94">F134-I134</f>
        <v>4</v>
      </c>
      <c r="K134" s="20">
        <v>0</v>
      </c>
      <c r="L134" s="20">
        <f t="shared" ref="L134:L141" si="95">J134</f>
        <v>4</v>
      </c>
      <c r="M134" s="20">
        <v>4</v>
      </c>
      <c r="N134" s="20">
        <v>0</v>
      </c>
      <c r="O134" s="20">
        <f t="shared" ref="O134:O141" si="96">SUM(M134:N134)</f>
        <v>4</v>
      </c>
      <c r="P134" s="20">
        <f t="shared" ref="P134:P140" si="97">SUM(I134,L134)</f>
        <v>8</v>
      </c>
      <c r="Q134" s="20"/>
      <c r="R134" s="20">
        <f t="shared" ref="R134:R141" si="98">SUM(P134:Q134)</f>
        <v>8</v>
      </c>
    </row>
    <row r="135" spans="1:18" ht="18" customHeight="1">
      <c r="A135" s="114">
        <v>110</v>
      </c>
      <c r="B135" s="164">
        <v>1</v>
      </c>
      <c r="C135" s="162" t="s">
        <v>200</v>
      </c>
      <c r="D135" s="164">
        <v>1</v>
      </c>
      <c r="E135" s="20">
        <v>0</v>
      </c>
      <c r="F135" s="20">
        <f t="shared" si="92"/>
        <v>1</v>
      </c>
      <c r="G135" s="20">
        <v>1</v>
      </c>
      <c r="H135" s="20">
        <v>0</v>
      </c>
      <c r="I135" s="20">
        <f t="shared" si="93"/>
        <v>1</v>
      </c>
      <c r="J135" s="20">
        <f t="shared" si="94"/>
        <v>0</v>
      </c>
      <c r="K135" s="20">
        <v>0</v>
      </c>
      <c r="L135" s="20">
        <f t="shared" si="95"/>
        <v>0</v>
      </c>
      <c r="M135" s="20">
        <v>0</v>
      </c>
      <c r="N135" s="20">
        <v>0</v>
      </c>
      <c r="O135" s="20">
        <f t="shared" si="96"/>
        <v>0</v>
      </c>
      <c r="P135" s="20">
        <f t="shared" si="97"/>
        <v>1</v>
      </c>
      <c r="Q135" s="20"/>
      <c r="R135" s="20">
        <f t="shared" si="98"/>
        <v>1</v>
      </c>
    </row>
    <row r="136" spans="1:18" ht="18" customHeight="1">
      <c r="A136" s="114">
        <v>111</v>
      </c>
      <c r="B136" s="165">
        <v>1</v>
      </c>
      <c r="C136" s="169" t="s">
        <v>13</v>
      </c>
      <c r="D136" s="164">
        <v>6</v>
      </c>
      <c r="E136" s="20">
        <v>0</v>
      </c>
      <c r="F136" s="20">
        <f t="shared" si="92"/>
        <v>6</v>
      </c>
      <c r="G136" s="20">
        <v>2</v>
      </c>
      <c r="H136" s="20">
        <v>0</v>
      </c>
      <c r="I136" s="20">
        <f t="shared" si="93"/>
        <v>2</v>
      </c>
      <c r="J136" s="20">
        <v>4</v>
      </c>
      <c r="K136" s="20">
        <v>0</v>
      </c>
      <c r="L136" s="20">
        <f t="shared" si="95"/>
        <v>4</v>
      </c>
      <c r="M136" s="20">
        <v>4</v>
      </c>
      <c r="N136" s="20">
        <v>0</v>
      </c>
      <c r="O136" s="20">
        <f t="shared" si="96"/>
        <v>4</v>
      </c>
      <c r="P136" s="20">
        <f t="shared" si="97"/>
        <v>6</v>
      </c>
      <c r="Q136" s="20"/>
      <c r="R136" s="20">
        <f t="shared" si="98"/>
        <v>6</v>
      </c>
    </row>
    <row r="137" spans="1:18" ht="18" customHeight="1">
      <c r="A137" s="114">
        <v>112</v>
      </c>
      <c r="B137" s="164" t="s">
        <v>182</v>
      </c>
      <c r="C137" s="162" t="s">
        <v>20</v>
      </c>
      <c r="D137" s="164">
        <v>2</v>
      </c>
      <c r="E137" s="20">
        <v>0</v>
      </c>
      <c r="F137" s="20">
        <f t="shared" si="92"/>
        <v>2</v>
      </c>
      <c r="G137" s="20">
        <v>2</v>
      </c>
      <c r="H137" s="20">
        <v>0</v>
      </c>
      <c r="I137" s="20">
        <f t="shared" si="93"/>
        <v>2</v>
      </c>
      <c r="J137" s="20">
        <f t="shared" si="94"/>
        <v>0</v>
      </c>
      <c r="K137" s="20">
        <v>0</v>
      </c>
      <c r="L137" s="20">
        <f t="shared" si="95"/>
        <v>0</v>
      </c>
      <c r="M137" s="20">
        <v>0</v>
      </c>
      <c r="N137" s="20">
        <v>0</v>
      </c>
      <c r="O137" s="20">
        <f t="shared" si="96"/>
        <v>0</v>
      </c>
      <c r="P137" s="20">
        <f t="shared" si="97"/>
        <v>2</v>
      </c>
      <c r="Q137" s="20"/>
      <c r="R137" s="20">
        <f t="shared" si="98"/>
        <v>2</v>
      </c>
    </row>
    <row r="138" spans="1:18" ht="18" customHeight="1">
      <c r="A138" s="114">
        <v>113</v>
      </c>
      <c r="B138" s="164" t="s">
        <v>183</v>
      </c>
      <c r="C138" s="162" t="s">
        <v>20</v>
      </c>
      <c r="D138" s="164">
        <v>14</v>
      </c>
      <c r="E138" s="20">
        <v>0</v>
      </c>
      <c r="F138" s="20">
        <f t="shared" si="92"/>
        <v>14</v>
      </c>
      <c r="G138" s="20">
        <v>14</v>
      </c>
      <c r="H138" s="20">
        <v>0</v>
      </c>
      <c r="I138" s="20">
        <f t="shared" si="93"/>
        <v>14</v>
      </c>
      <c r="J138" s="20">
        <f t="shared" si="94"/>
        <v>0</v>
      </c>
      <c r="K138" s="20">
        <v>0</v>
      </c>
      <c r="L138" s="20">
        <f t="shared" si="95"/>
        <v>0</v>
      </c>
      <c r="M138" s="20">
        <v>0</v>
      </c>
      <c r="N138" s="20">
        <v>0</v>
      </c>
      <c r="O138" s="20">
        <f t="shared" si="96"/>
        <v>0</v>
      </c>
      <c r="P138" s="20">
        <f t="shared" si="97"/>
        <v>14</v>
      </c>
      <c r="Q138" s="20"/>
      <c r="R138" s="20">
        <f t="shared" si="98"/>
        <v>14</v>
      </c>
    </row>
    <row r="139" spans="1:18" ht="18" customHeight="1">
      <c r="A139" s="114">
        <v>114</v>
      </c>
      <c r="B139" s="164" t="s">
        <v>191</v>
      </c>
      <c r="C139" s="162" t="s">
        <v>20</v>
      </c>
      <c r="D139" s="164">
        <v>3</v>
      </c>
      <c r="E139" s="20">
        <v>0</v>
      </c>
      <c r="F139" s="20">
        <f t="shared" si="92"/>
        <v>3</v>
      </c>
      <c r="G139" s="20">
        <v>3</v>
      </c>
      <c r="H139" s="20">
        <v>0</v>
      </c>
      <c r="I139" s="20">
        <f t="shared" si="93"/>
        <v>3</v>
      </c>
      <c r="J139" s="20">
        <f t="shared" si="94"/>
        <v>0</v>
      </c>
      <c r="K139" s="20">
        <v>0</v>
      </c>
      <c r="L139" s="20">
        <f t="shared" si="95"/>
        <v>0</v>
      </c>
      <c r="M139" s="20">
        <v>0</v>
      </c>
      <c r="N139" s="20">
        <v>0</v>
      </c>
      <c r="O139" s="20">
        <f t="shared" si="96"/>
        <v>0</v>
      </c>
      <c r="P139" s="20">
        <f t="shared" si="97"/>
        <v>3</v>
      </c>
      <c r="Q139" s="20"/>
      <c r="R139" s="20">
        <f t="shared" si="98"/>
        <v>3</v>
      </c>
    </row>
    <row r="140" spans="1:18" ht="18" customHeight="1">
      <c r="A140" s="114">
        <v>115</v>
      </c>
      <c r="B140" s="164" t="s">
        <v>192</v>
      </c>
      <c r="C140" s="162" t="s">
        <v>20</v>
      </c>
      <c r="D140" s="164">
        <v>7</v>
      </c>
      <c r="E140" s="20">
        <v>0</v>
      </c>
      <c r="F140" s="20">
        <f t="shared" si="92"/>
        <v>7</v>
      </c>
      <c r="G140" s="20">
        <v>7</v>
      </c>
      <c r="H140" s="20">
        <v>0</v>
      </c>
      <c r="I140" s="20">
        <f t="shared" si="93"/>
        <v>7</v>
      </c>
      <c r="J140" s="20">
        <v>0</v>
      </c>
      <c r="K140" s="20">
        <v>0</v>
      </c>
      <c r="L140" s="20">
        <f t="shared" si="95"/>
        <v>0</v>
      </c>
      <c r="M140" s="20">
        <v>0</v>
      </c>
      <c r="N140" s="20">
        <v>0</v>
      </c>
      <c r="O140" s="20">
        <f t="shared" si="96"/>
        <v>0</v>
      </c>
      <c r="P140" s="20">
        <f t="shared" si="97"/>
        <v>7</v>
      </c>
      <c r="Q140" s="20"/>
      <c r="R140" s="20">
        <f t="shared" si="98"/>
        <v>7</v>
      </c>
    </row>
    <row r="141" spans="1:18" ht="18" customHeight="1">
      <c r="A141" s="114">
        <v>116</v>
      </c>
      <c r="B141" s="164">
        <v>1</v>
      </c>
      <c r="C141" s="162" t="s">
        <v>20</v>
      </c>
      <c r="D141" s="164">
        <v>121</v>
      </c>
      <c r="E141" s="20">
        <v>5</v>
      </c>
      <c r="F141" s="20">
        <f t="shared" si="92"/>
        <v>126</v>
      </c>
      <c r="G141" s="20">
        <v>104</v>
      </c>
      <c r="H141" s="20">
        <v>5</v>
      </c>
      <c r="I141" s="20">
        <f t="shared" si="93"/>
        <v>109</v>
      </c>
      <c r="J141" s="20">
        <v>17</v>
      </c>
      <c r="K141" s="20">
        <v>0</v>
      </c>
      <c r="L141" s="20">
        <f t="shared" si="95"/>
        <v>17</v>
      </c>
      <c r="M141" s="20">
        <v>17</v>
      </c>
      <c r="N141" s="20">
        <v>0</v>
      </c>
      <c r="O141" s="20">
        <f t="shared" si="96"/>
        <v>17</v>
      </c>
      <c r="P141" s="20">
        <v>121</v>
      </c>
      <c r="Q141" s="20">
        <v>5</v>
      </c>
      <c r="R141" s="20">
        <f t="shared" si="98"/>
        <v>126</v>
      </c>
    </row>
    <row r="142" spans="1:18" ht="20.100000000000001" customHeight="1">
      <c r="A142" s="225" t="s">
        <v>14</v>
      </c>
      <c r="B142" s="226"/>
      <c r="C142" s="227"/>
      <c r="D142" s="24">
        <f t="shared" ref="D142:R142" si="99">SUM(D87:D141)</f>
        <v>242</v>
      </c>
      <c r="E142" s="24">
        <f t="shared" si="99"/>
        <v>7</v>
      </c>
      <c r="F142" s="24">
        <f t="shared" si="99"/>
        <v>249</v>
      </c>
      <c r="G142" s="24">
        <f t="shared" si="99"/>
        <v>192</v>
      </c>
      <c r="H142" s="24">
        <f t="shared" si="99"/>
        <v>7</v>
      </c>
      <c r="I142" s="24">
        <f t="shared" si="99"/>
        <v>199</v>
      </c>
      <c r="J142" s="24">
        <f t="shared" si="99"/>
        <v>49</v>
      </c>
      <c r="K142" s="24">
        <f t="shared" si="99"/>
        <v>1</v>
      </c>
      <c r="L142" s="24">
        <f t="shared" si="99"/>
        <v>50</v>
      </c>
      <c r="M142" s="24">
        <f t="shared" si="99"/>
        <v>49</v>
      </c>
      <c r="N142" s="24">
        <f t="shared" si="99"/>
        <v>1</v>
      </c>
      <c r="O142" s="24">
        <f t="shared" si="99"/>
        <v>50</v>
      </c>
      <c r="P142" s="24">
        <f t="shared" si="99"/>
        <v>242</v>
      </c>
      <c r="Q142" s="24">
        <f t="shared" si="99"/>
        <v>7</v>
      </c>
      <c r="R142" s="24">
        <f t="shared" si="99"/>
        <v>249</v>
      </c>
    </row>
    <row r="143" spans="1:18" ht="20.100000000000001" customHeight="1">
      <c r="A143" s="222" t="s">
        <v>94</v>
      </c>
      <c r="B143" s="222"/>
      <c r="C143" s="222"/>
      <c r="D143" s="159">
        <f t="shared" ref="D143:R143" si="100">SUM(D142,D84,D67,D60,D42,D20,D17)</f>
        <v>311</v>
      </c>
      <c r="E143" s="171">
        <f t="shared" si="100"/>
        <v>12</v>
      </c>
      <c r="F143" s="171">
        <f t="shared" si="100"/>
        <v>323</v>
      </c>
      <c r="G143" s="171">
        <f t="shared" si="100"/>
        <v>240</v>
      </c>
      <c r="H143" s="171">
        <f t="shared" si="100"/>
        <v>11</v>
      </c>
      <c r="I143" s="171">
        <f t="shared" si="100"/>
        <v>251</v>
      </c>
      <c r="J143" s="171">
        <f t="shared" si="100"/>
        <v>70</v>
      </c>
      <c r="K143" s="171">
        <f t="shared" si="100"/>
        <v>2</v>
      </c>
      <c r="L143" s="171">
        <f t="shared" si="100"/>
        <v>72</v>
      </c>
      <c r="M143" s="171">
        <f t="shared" si="100"/>
        <v>70</v>
      </c>
      <c r="N143" s="171">
        <f t="shared" si="100"/>
        <v>2</v>
      </c>
      <c r="O143" s="171">
        <f t="shared" si="100"/>
        <v>72</v>
      </c>
      <c r="P143" s="171">
        <f t="shared" si="100"/>
        <v>311</v>
      </c>
      <c r="Q143" s="171">
        <f t="shared" si="100"/>
        <v>12</v>
      </c>
      <c r="R143" s="171">
        <f t="shared" si="100"/>
        <v>323</v>
      </c>
    </row>
  </sheetData>
  <mergeCells count="28">
    <mergeCell ref="A2:R2"/>
    <mergeCell ref="A3:R3"/>
    <mergeCell ref="A4:R4"/>
    <mergeCell ref="J9:L10"/>
    <mergeCell ref="B9:B11"/>
    <mergeCell ref="A5:D5"/>
    <mergeCell ref="M9:O10"/>
    <mergeCell ref="P9:R10"/>
    <mergeCell ref="A8:R8"/>
    <mergeCell ref="D9:F10"/>
    <mergeCell ref="A9:A11"/>
    <mergeCell ref="E5:J5"/>
    <mergeCell ref="G9:I10"/>
    <mergeCell ref="C9:C11"/>
    <mergeCell ref="M5:R5"/>
    <mergeCell ref="A12:C12"/>
    <mergeCell ref="B60:C60"/>
    <mergeCell ref="A21:C21"/>
    <mergeCell ref="A43:C43"/>
    <mergeCell ref="B42:C42"/>
    <mergeCell ref="A18:C18"/>
    <mergeCell ref="A143:C143"/>
    <mergeCell ref="A61:C61"/>
    <mergeCell ref="A142:C142"/>
    <mergeCell ref="A68:C68"/>
    <mergeCell ref="B84:C84"/>
    <mergeCell ref="A86:C86"/>
    <mergeCell ref="B67:C67"/>
  </mergeCells>
  <phoneticPr fontId="0" type="noConversion"/>
  <printOptions horizontalCentered="1"/>
  <pageMargins left="0.5" right="0.25" top="0.64" bottom="0.75" header="0.4" footer="0.5"/>
  <pageSetup paperSize="9" scale="95" firstPageNumber="46" orientation="landscape" useFirstPageNumber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8"/>
  <sheetViews>
    <sheetView view="pageBreakPreview" zoomScale="80" zoomScaleNormal="60" zoomScaleSheetLayoutView="80" workbookViewId="0">
      <pane xSplit="12" ySplit="10" topLeftCell="M20" activePane="bottomRight" state="frozen"/>
      <selection pane="topRight" activeCell="M1" sqref="M1"/>
      <selection pane="bottomLeft" activeCell="A8" sqref="A8"/>
      <selection pane="bottomRight" activeCell="G26" sqref="G26"/>
    </sheetView>
  </sheetViews>
  <sheetFormatPr defaultRowHeight="12.75"/>
  <cols>
    <col min="1" max="1" width="5.5703125" style="50" customWidth="1"/>
    <col min="2" max="2" width="24.5703125" style="175" customWidth="1"/>
    <col min="3" max="3" width="8.140625" style="176" customWidth="1"/>
    <col min="4" max="4" width="7.28515625" style="176" customWidth="1"/>
    <col min="5" max="5" width="8" style="176" customWidth="1"/>
    <col min="6" max="6" width="7.85546875" style="176" customWidth="1"/>
    <col min="7" max="7" width="13.7109375" style="50" customWidth="1"/>
    <col min="8" max="8" width="13.7109375" customWidth="1"/>
    <col min="9" max="9" width="13.7109375" style="177" customWidth="1"/>
    <col min="10" max="12" width="13.7109375" customWidth="1"/>
    <col min="13" max="13" width="12.28515625" customWidth="1"/>
    <col min="14" max="14" width="9.140625" customWidth="1"/>
  </cols>
  <sheetData>
    <row r="2" spans="1:12" ht="13.5" thickBot="1"/>
    <row r="3" spans="1:12" s="2" customFormat="1" ht="16.5">
      <c r="A3" s="298" t="s">
        <v>33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300"/>
    </row>
    <row r="4" spans="1:12" s="2" customFormat="1" ht="20.25" customHeight="1"/>
    <row r="5" spans="1:12" s="2" customFormat="1" ht="20.25" customHeight="1">
      <c r="A5" s="301" t="s">
        <v>241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3"/>
    </row>
    <row r="6" spans="1:12" s="2" customFormat="1" ht="20.25" customHeight="1">
      <c r="A6" s="304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</row>
    <row r="7" spans="1:12" s="2" customFormat="1" ht="20.25" customHeight="1">
      <c r="A7" s="305" t="s">
        <v>209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</row>
    <row r="8" spans="1:12" s="2" customFormat="1" ht="20.25" customHeight="1">
      <c r="A8" s="178"/>
      <c r="B8" s="179"/>
      <c r="C8" s="178"/>
      <c r="D8" s="178"/>
      <c r="E8" s="178"/>
      <c r="F8" s="178"/>
      <c r="G8" s="178"/>
      <c r="H8" s="306" t="s">
        <v>210</v>
      </c>
      <c r="I8" s="306"/>
      <c r="J8" s="306"/>
      <c r="K8" s="180"/>
      <c r="L8" s="180"/>
    </row>
    <row r="9" spans="1:12" ht="19.5" customHeight="1">
      <c r="A9" s="293" t="s">
        <v>69</v>
      </c>
      <c r="B9" s="307" t="s">
        <v>3</v>
      </c>
      <c r="C9" s="309" t="s">
        <v>2</v>
      </c>
      <c r="D9" s="293" t="s">
        <v>211</v>
      </c>
      <c r="E9" s="293"/>
      <c r="F9" s="293"/>
      <c r="G9" s="293" t="s">
        <v>212</v>
      </c>
      <c r="H9" s="293" t="s">
        <v>213</v>
      </c>
      <c r="I9" s="294" t="s">
        <v>214</v>
      </c>
      <c r="J9" s="293" t="s">
        <v>215</v>
      </c>
      <c r="K9" s="293" t="s">
        <v>216</v>
      </c>
      <c r="L9" s="293" t="s">
        <v>1</v>
      </c>
    </row>
    <row r="10" spans="1:12" ht="20.25" customHeight="1">
      <c r="A10" s="293"/>
      <c r="B10" s="308"/>
      <c r="C10" s="309"/>
      <c r="D10" s="181" t="s">
        <v>35</v>
      </c>
      <c r="E10" s="181" t="s">
        <v>9</v>
      </c>
      <c r="F10" s="181" t="s">
        <v>1</v>
      </c>
      <c r="G10" s="293"/>
      <c r="H10" s="293"/>
      <c r="I10" s="294"/>
      <c r="J10" s="293"/>
      <c r="K10" s="293"/>
      <c r="L10" s="293"/>
    </row>
    <row r="11" spans="1:12" ht="20.25" customHeight="1">
      <c r="A11" s="223" t="s">
        <v>127</v>
      </c>
      <c r="B11" s="224"/>
      <c r="C11" s="224"/>
      <c r="D11" s="181"/>
      <c r="E11" s="181"/>
      <c r="F11" s="181"/>
      <c r="G11" s="182"/>
      <c r="H11" s="182"/>
      <c r="I11" s="183"/>
      <c r="J11" s="182"/>
      <c r="K11" s="182"/>
      <c r="L11" s="182"/>
    </row>
    <row r="12" spans="1:12" ht="21.95" customHeight="1">
      <c r="A12" s="184">
        <v>1</v>
      </c>
      <c r="B12" s="161" t="s">
        <v>204</v>
      </c>
      <c r="C12" s="163" t="s">
        <v>45</v>
      </c>
      <c r="D12" s="164">
        <v>1</v>
      </c>
      <c r="E12" s="19">
        <v>0</v>
      </c>
      <c r="F12" s="19">
        <f>SUM(D12:E12)</f>
        <v>1</v>
      </c>
      <c r="G12" s="185">
        <v>540000</v>
      </c>
      <c r="H12" s="186">
        <f>G12*12.5%</f>
        <v>67500</v>
      </c>
      <c r="I12" s="186"/>
      <c r="J12" s="185">
        <f>G12*40%</f>
        <v>216000</v>
      </c>
      <c r="K12" s="185">
        <v>0</v>
      </c>
      <c r="L12" s="186">
        <f>45000*12</f>
        <v>540000</v>
      </c>
    </row>
    <row r="13" spans="1:12" s="16" customFormat="1" ht="21.95" customHeight="1">
      <c r="A13" s="187">
        <v>2</v>
      </c>
      <c r="B13" s="162" t="s">
        <v>11</v>
      </c>
      <c r="C13" s="164" t="s">
        <v>180</v>
      </c>
      <c r="D13" s="164">
        <v>1</v>
      </c>
      <c r="E13" s="170">
        <v>0</v>
      </c>
      <c r="F13" s="170">
        <f t="shared" ref="F13:F17" si="0">SUM(D13:E13)</f>
        <v>1</v>
      </c>
      <c r="G13" s="188">
        <v>547370</v>
      </c>
      <c r="H13" s="186">
        <f t="shared" ref="H13:H17" si="1">G13*12.5%</f>
        <v>68421.25</v>
      </c>
      <c r="I13" s="189">
        <v>406026</v>
      </c>
      <c r="J13" s="188">
        <f t="shared" ref="J13:J17" si="2">G13*40%</f>
        <v>218948</v>
      </c>
      <c r="K13" s="189">
        <v>0</v>
      </c>
      <c r="L13" s="189">
        <f>SUM(G13:K13)</f>
        <v>1240765.25</v>
      </c>
    </row>
    <row r="14" spans="1:12" s="16" customFormat="1" ht="31.5" customHeight="1">
      <c r="A14" s="190">
        <v>3</v>
      </c>
      <c r="B14" s="162" t="s">
        <v>205</v>
      </c>
      <c r="C14" s="164">
        <v>5</v>
      </c>
      <c r="D14" s="164">
        <v>1</v>
      </c>
      <c r="E14" s="170">
        <v>0</v>
      </c>
      <c r="F14" s="170">
        <v>1</v>
      </c>
      <c r="G14" s="188">
        <v>197010</v>
      </c>
      <c r="H14" s="186">
        <f t="shared" si="1"/>
        <v>24626.25</v>
      </c>
      <c r="I14" s="189">
        <v>192288</v>
      </c>
      <c r="J14" s="188">
        <f t="shared" si="2"/>
        <v>78804</v>
      </c>
      <c r="K14" s="189">
        <v>0</v>
      </c>
      <c r="L14" s="189">
        <f t="shared" ref="L14:L17" si="3">SUM(G14:K14)</f>
        <v>492728.25</v>
      </c>
    </row>
    <row r="15" spans="1:12" s="16" customFormat="1" ht="31.5" customHeight="1">
      <c r="A15" s="190">
        <v>4</v>
      </c>
      <c r="B15" s="162" t="s">
        <v>128</v>
      </c>
      <c r="C15" s="164">
        <v>5</v>
      </c>
      <c r="D15" s="164">
        <v>1</v>
      </c>
      <c r="E15" s="170">
        <v>0</v>
      </c>
      <c r="F15" s="170">
        <v>1</v>
      </c>
      <c r="G15" s="188">
        <v>188010</v>
      </c>
      <c r="H15" s="186">
        <f t="shared" si="1"/>
        <v>23501.25</v>
      </c>
      <c r="I15" s="189"/>
      <c r="J15" s="188"/>
      <c r="K15" s="189">
        <v>0</v>
      </c>
      <c r="L15" s="189"/>
    </row>
    <row r="16" spans="1:12" s="16" customFormat="1" ht="21.95" customHeight="1">
      <c r="A16" s="187">
        <v>5</v>
      </c>
      <c r="B16" s="162" t="s">
        <v>12</v>
      </c>
      <c r="C16" s="164">
        <v>4</v>
      </c>
      <c r="D16" s="164">
        <v>1</v>
      </c>
      <c r="E16" s="170">
        <v>0</v>
      </c>
      <c r="F16" s="170">
        <f t="shared" ref="F16" si="4">SUM(D16:E16)</f>
        <v>1</v>
      </c>
      <c r="G16" s="188">
        <v>212580</v>
      </c>
      <c r="H16" s="186">
        <f t="shared" si="1"/>
        <v>26572.5</v>
      </c>
      <c r="I16" s="189">
        <v>240463</v>
      </c>
      <c r="J16" s="188">
        <f t="shared" si="2"/>
        <v>85032</v>
      </c>
      <c r="K16" s="189">
        <v>0</v>
      </c>
      <c r="L16" s="189">
        <f t="shared" si="3"/>
        <v>564647.5</v>
      </c>
    </row>
    <row r="17" spans="1:13" s="16" customFormat="1" ht="21.95" customHeight="1">
      <c r="A17" s="190">
        <v>6</v>
      </c>
      <c r="B17" s="162" t="s">
        <v>13</v>
      </c>
      <c r="C17" s="164">
        <v>1</v>
      </c>
      <c r="D17" s="164">
        <v>1</v>
      </c>
      <c r="E17" s="170">
        <v>0</v>
      </c>
      <c r="F17" s="170">
        <f t="shared" si="0"/>
        <v>1</v>
      </c>
      <c r="G17" s="188">
        <v>251590</v>
      </c>
      <c r="H17" s="186">
        <f t="shared" si="1"/>
        <v>31448.75</v>
      </c>
      <c r="I17" s="189">
        <v>236952</v>
      </c>
      <c r="J17" s="188">
        <f t="shared" si="2"/>
        <v>100636</v>
      </c>
      <c r="K17" s="189">
        <v>0</v>
      </c>
      <c r="L17" s="189">
        <f t="shared" si="3"/>
        <v>620626.75</v>
      </c>
    </row>
    <row r="18" spans="1:13" s="193" customFormat="1" ht="21.95" customHeight="1">
      <c r="A18" s="295" t="s">
        <v>1</v>
      </c>
      <c r="B18" s="296"/>
      <c r="C18" s="297"/>
      <c r="D18" s="191">
        <f>SUM(D12:D17)</f>
        <v>6</v>
      </c>
      <c r="E18" s="191">
        <f t="shared" ref="E18:L18" si="5">SUM(E12:E17)</f>
        <v>0</v>
      </c>
      <c r="F18" s="191">
        <f t="shared" si="5"/>
        <v>6</v>
      </c>
      <c r="G18" s="191">
        <f t="shared" si="5"/>
        <v>1936560</v>
      </c>
      <c r="H18" s="191">
        <f t="shared" si="5"/>
        <v>242070</v>
      </c>
      <c r="I18" s="191">
        <f t="shared" si="5"/>
        <v>1075729</v>
      </c>
      <c r="J18" s="191">
        <f t="shared" si="5"/>
        <v>699420</v>
      </c>
      <c r="K18" s="191">
        <f t="shared" si="5"/>
        <v>0</v>
      </c>
      <c r="L18" s="191">
        <f t="shared" si="5"/>
        <v>3458767.75</v>
      </c>
      <c r="M18" s="192">
        <f>L18-637800</f>
        <v>2820967.75</v>
      </c>
    </row>
    <row r="19" spans="1:13" s="193" customFormat="1" ht="21.95" customHeight="1">
      <c r="A19" s="283" t="s">
        <v>129</v>
      </c>
      <c r="B19" s="284"/>
      <c r="C19" s="284"/>
      <c r="D19" s="191"/>
      <c r="E19" s="191"/>
      <c r="F19" s="191"/>
      <c r="G19" s="191"/>
      <c r="H19" s="191"/>
      <c r="I19" s="191"/>
      <c r="J19" s="191"/>
      <c r="K19" s="191"/>
      <c r="L19" s="191"/>
      <c r="M19" s="192"/>
    </row>
    <row r="20" spans="1:13" s="16" customFormat="1" ht="21.95" customHeight="1">
      <c r="A20" s="188">
        <v>7</v>
      </c>
      <c r="B20" s="194" t="s">
        <v>129</v>
      </c>
      <c r="C20" s="190" t="s">
        <v>45</v>
      </c>
      <c r="D20" s="195">
        <v>1</v>
      </c>
      <c r="E20" s="188"/>
      <c r="F20" s="188">
        <f t="shared" ref="F20" si="6">SUM(D20:E20)</f>
        <v>1</v>
      </c>
      <c r="G20" s="189"/>
      <c r="H20" s="189"/>
      <c r="I20" s="189"/>
      <c r="J20" s="189"/>
      <c r="K20" s="189"/>
      <c r="L20" s="189">
        <f>30000*12</f>
        <v>360000</v>
      </c>
    </row>
    <row r="21" spans="1:13" s="193" customFormat="1" ht="21.95" customHeight="1">
      <c r="A21" s="295" t="s">
        <v>1</v>
      </c>
      <c r="B21" s="296"/>
      <c r="C21" s="297"/>
      <c r="D21" s="191">
        <f>SUM(D20:D20)</f>
        <v>1</v>
      </c>
      <c r="E21" s="191">
        <f t="shared" ref="E21:L21" si="7">SUM(E20:E20)</f>
        <v>0</v>
      </c>
      <c r="F21" s="191">
        <f t="shared" si="7"/>
        <v>1</v>
      </c>
      <c r="G21" s="191">
        <f t="shared" si="7"/>
        <v>0</v>
      </c>
      <c r="H21" s="191">
        <f t="shared" si="7"/>
        <v>0</v>
      </c>
      <c r="I21" s="191">
        <f t="shared" si="7"/>
        <v>0</v>
      </c>
      <c r="J21" s="191">
        <f t="shared" si="7"/>
        <v>0</v>
      </c>
      <c r="K21" s="191">
        <f t="shared" si="7"/>
        <v>0</v>
      </c>
      <c r="L21" s="191">
        <f t="shared" si="7"/>
        <v>360000</v>
      </c>
      <c r="M21" s="192">
        <f>L18+L21</f>
        <v>3818767.75</v>
      </c>
    </row>
    <row r="22" spans="1:13" s="193" customFormat="1" ht="21.95" customHeight="1">
      <c r="A22" s="290" t="s">
        <v>105</v>
      </c>
      <c r="B22" s="291"/>
      <c r="C22" s="292"/>
      <c r="D22" s="191"/>
      <c r="E22" s="191"/>
      <c r="F22" s="191"/>
      <c r="G22" s="191"/>
      <c r="H22" s="191"/>
      <c r="I22" s="191"/>
      <c r="J22" s="191"/>
      <c r="K22" s="191"/>
      <c r="L22" s="191"/>
      <c r="M22" s="192"/>
    </row>
    <row r="23" spans="1:13" s="16" customFormat="1" ht="21.95" customHeight="1">
      <c r="A23" s="196">
        <v>8</v>
      </c>
      <c r="B23" s="161" t="s">
        <v>130</v>
      </c>
      <c r="C23" s="163">
        <v>17</v>
      </c>
      <c r="D23" s="164">
        <v>0</v>
      </c>
      <c r="E23" s="20">
        <v>1</v>
      </c>
      <c r="F23" s="20">
        <f>SUM(D23:E23)</f>
        <v>1</v>
      </c>
      <c r="G23" s="189">
        <f>'[1]BDO-3 '!$M$21</f>
        <v>687900</v>
      </c>
      <c r="H23" s="189">
        <f>G23*12.5%</f>
        <v>85987.5</v>
      </c>
      <c r="I23" s="189">
        <v>491544</v>
      </c>
      <c r="J23" s="189">
        <f>G23*40%</f>
        <v>275160</v>
      </c>
      <c r="K23" s="189">
        <f>13521*12</f>
        <v>162252</v>
      </c>
      <c r="L23" s="189">
        <f>SUM(G23:K23)</f>
        <v>1702843.5</v>
      </c>
    </row>
    <row r="24" spans="1:13" s="16" customFormat="1" ht="21.95" customHeight="1">
      <c r="A24" s="196">
        <v>9</v>
      </c>
      <c r="B24" s="161" t="s">
        <v>18</v>
      </c>
      <c r="C24" s="163">
        <v>17</v>
      </c>
      <c r="D24" s="164">
        <v>1</v>
      </c>
      <c r="E24" s="20">
        <v>0</v>
      </c>
      <c r="F24" s="20">
        <v>1</v>
      </c>
      <c r="G24" s="189">
        <v>564780</v>
      </c>
      <c r="H24" s="189">
        <f t="shared" ref="H24:H48" si="8">G24*12.5%</f>
        <v>70597.5</v>
      </c>
      <c r="I24" s="189">
        <v>580178</v>
      </c>
      <c r="J24" s="189">
        <f t="shared" ref="J24:J48" si="9">G24*40%</f>
        <v>225912</v>
      </c>
      <c r="K24" s="189"/>
      <c r="L24" s="189">
        <f t="shared" ref="L24:L48" si="10">SUM(G24:K24)</f>
        <v>1441467.5</v>
      </c>
    </row>
    <row r="25" spans="1:13" s="16" customFormat="1" ht="21.95" customHeight="1">
      <c r="A25" s="196">
        <v>10</v>
      </c>
      <c r="B25" s="162" t="s">
        <v>95</v>
      </c>
      <c r="C25" s="164" t="s">
        <v>181</v>
      </c>
      <c r="D25" s="164">
        <v>1</v>
      </c>
      <c r="E25" s="20">
        <v>0</v>
      </c>
      <c r="F25" s="20">
        <f t="shared" ref="F25:F48" si="11">SUM(D25:E25)</f>
        <v>1</v>
      </c>
      <c r="G25" s="189">
        <v>623860</v>
      </c>
      <c r="H25" s="189">
        <f t="shared" si="8"/>
        <v>77982.5</v>
      </c>
      <c r="I25" s="189">
        <v>502142</v>
      </c>
      <c r="J25" s="189">
        <f t="shared" si="9"/>
        <v>249544</v>
      </c>
      <c r="K25" s="189"/>
      <c r="L25" s="189">
        <f t="shared" si="10"/>
        <v>1453528.5</v>
      </c>
    </row>
    <row r="26" spans="1:13" s="16" customFormat="1" ht="21.95" customHeight="1">
      <c r="A26" s="196">
        <v>11</v>
      </c>
      <c r="B26" s="162" t="s">
        <v>16</v>
      </c>
      <c r="C26" s="164">
        <v>14</v>
      </c>
      <c r="D26" s="164">
        <v>1</v>
      </c>
      <c r="E26" s="20">
        <v>0</v>
      </c>
      <c r="F26" s="20">
        <f t="shared" si="11"/>
        <v>1</v>
      </c>
      <c r="G26" s="189">
        <v>721020</v>
      </c>
      <c r="H26" s="189">
        <f t="shared" si="8"/>
        <v>90127.5</v>
      </c>
      <c r="I26" s="189">
        <v>469869</v>
      </c>
      <c r="J26" s="189">
        <f t="shared" si="9"/>
        <v>288408</v>
      </c>
      <c r="K26" s="189"/>
      <c r="L26" s="189">
        <f t="shared" si="10"/>
        <v>1569424.5</v>
      </c>
    </row>
    <row r="27" spans="1:13" s="16" customFormat="1" ht="21.95" customHeight="1">
      <c r="A27" s="196">
        <v>12</v>
      </c>
      <c r="B27" s="162" t="s">
        <v>185</v>
      </c>
      <c r="C27" s="166">
        <v>14</v>
      </c>
      <c r="D27" s="166">
        <v>1</v>
      </c>
      <c r="E27" s="20">
        <v>0</v>
      </c>
      <c r="F27" s="20">
        <v>1</v>
      </c>
      <c r="G27" s="189">
        <v>762780</v>
      </c>
      <c r="H27" s="189">
        <f t="shared" si="8"/>
        <v>95347.5</v>
      </c>
      <c r="I27" s="189">
        <v>490617</v>
      </c>
      <c r="J27" s="189">
        <f t="shared" si="9"/>
        <v>305112</v>
      </c>
      <c r="K27" s="189"/>
      <c r="L27" s="189">
        <f t="shared" si="10"/>
        <v>1653856.5</v>
      </c>
    </row>
    <row r="28" spans="1:13" s="16" customFormat="1" ht="21.95" customHeight="1">
      <c r="A28" s="196">
        <v>13</v>
      </c>
      <c r="B28" s="162" t="s">
        <v>10</v>
      </c>
      <c r="C28" s="165">
        <v>13</v>
      </c>
      <c r="D28" s="165">
        <v>1</v>
      </c>
      <c r="E28" s="20">
        <v>0</v>
      </c>
      <c r="F28" s="20">
        <f t="shared" si="11"/>
        <v>1</v>
      </c>
      <c r="G28" s="189">
        <v>470760</v>
      </c>
      <c r="H28" s="189">
        <f t="shared" si="8"/>
        <v>58845</v>
      </c>
      <c r="I28" s="189">
        <v>452052</v>
      </c>
      <c r="J28" s="189">
        <f t="shared" si="9"/>
        <v>188304</v>
      </c>
      <c r="K28" s="189"/>
      <c r="L28" s="189">
        <f t="shared" si="10"/>
        <v>1169961</v>
      </c>
    </row>
    <row r="29" spans="1:13" s="16" customFormat="1" ht="21.95" customHeight="1">
      <c r="A29" s="196">
        <v>14</v>
      </c>
      <c r="B29" s="162" t="s">
        <v>99</v>
      </c>
      <c r="C29" s="165">
        <v>12</v>
      </c>
      <c r="D29" s="166">
        <v>1</v>
      </c>
      <c r="E29" s="20">
        <v>0</v>
      </c>
      <c r="F29" s="20">
        <f t="shared" si="11"/>
        <v>1</v>
      </c>
      <c r="G29" s="189">
        <v>489480</v>
      </c>
      <c r="H29" s="189">
        <f t="shared" si="8"/>
        <v>61185</v>
      </c>
      <c r="I29" s="189">
        <v>381072</v>
      </c>
      <c r="J29" s="189">
        <f t="shared" si="9"/>
        <v>195792</v>
      </c>
      <c r="K29" s="189"/>
      <c r="L29" s="189">
        <f t="shared" si="10"/>
        <v>1127529</v>
      </c>
    </row>
    <row r="30" spans="1:13" s="16" customFormat="1" ht="21.95" customHeight="1">
      <c r="A30" s="196">
        <v>15</v>
      </c>
      <c r="B30" s="162" t="s">
        <v>185</v>
      </c>
      <c r="C30" s="165">
        <v>11</v>
      </c>
      <c r="D30" s="166">
        <v>1</v>
      </c>
      <c r="E30" s="20">
        <v>0</v>
      </c>
      <c r="F30" s="20">
        <v>1</v>
      </c>
      <c r="G30" s="189">
        <v>610250</v>
      </c>
      <c r="H30" s="189">
        <f t="shared" si="8"/>
        <v>76281.25</v>
      </c>
      <c r="I30" s="189">
        <v>440706</v>
      </c>
      <c r="J30" s="189">
        <f t="shared" si="9"/>
        <v>244100</v>
      </c>
      <c r="K30" s="189"/>
      <c r="L30" s="189">
        <f t="shared" si="10"/>
        <v>1371337.25</v>
      </c>
    </row>
    <row r="31" spans="1:13" s="16" customFormat="1" ht="21.95" customHeight="1">
      <c r="A31" s="196">
        <v>16</v>
      </c>
      <c r="B31" s="162" t="s">
        <v>185</v>
      </c>
      <c r="C31" s="165">
        <v>11</v>
      </c>
      <c r="D31" s="166">
        <v>1</v>
      </c>
      <c r="E31" s="20">
        <v>0</v>
      </c>
      <c r="F31" s="20">
        <v>1</v>
      </c>
      <c r="G31" s="189">
        <v>610250</v>
      </c>
      <c r="H31" s="189">
        <f t="shared" si="8"/>
        <v>76281.25</v>
      </c>
      <c r="I31" s="189">
        <v>440706</v>
      </c>
      <c r="J31" s="189">
        <f t="shared" ref="J31" si="12">G31*40%</f>
        <v>244100</v>
      </c>
      <c r="K31" s="189"/>
      <c r="L31" s="189">
        <f t="shared" ref="L31" si="13">SUM(G31:K31)</f>
        <v>1371337.25</v>
      </c>
    </row>
    <row r="32" spans="1:13" s="16" customFormat="1" ht="21.95" customHeight="1">
      <c r="A32" s="196">
        <v>17</v>
      </c>
      <c r="B32" s="162" t="s">
        <v>11</v>
      </c>
      <c r="C32" s="166">
        <v>11</v>
      </c>
      <c r="D32" s="166">
        <v>1</v>
      </c>
      <c r="E32" s="20">
        <v>0</v>
      </c>
      <c r="F32" s="20">
        <f>SUM(D32:E32)</f>
        <v>1</v>
      </c>
      <c r="G32" s="189">
        <v>295850</v>
      </c>
      <c r="H32" s="189">
        <f t="shared" si="8"/>
        <v>36981.25</v>
      </c>
      <c r="I32" s="189">
        <v>298986</v>
      </c>
      <c r="J32" s="189">
        <f t="shared" si="9"/>
        <v>118340</v>
      </c>
      <c r="K32" s="189"/>
      <c r="L32" s="189">
        <f t="shared" si="10"/>
        <v>750157.25</v>
      </c>
    </row>
    <row r="33" spans="1:12" s="16" customFormat="1" ht="21.95" customHeight="1">
      <c r="A33" s="196">
        <v>18</v>
      </c>
      <c r="B33" s="162" t="s">
        <v>11</v>
      </c>
      <c r="C33" s="166">
        <v>11</v>
      </c>
      <c r="D33" s="166">
        <v>1</v>
      </c>
      <c r="E33" s="20">
        <v>0</v>
      </c>
      <c r="F33" s="20">
        <f>SUM(D33:E33)</f>
        <v>1</v>
      </c>
      <c r="G33" s="189">
        <v>248690</v>
      </c>
      <c r="H33" s="189">
        <f t="shared" si="8"/>
        <v>31086.25</v>
      </c>
      <c r="I33" s="189">
        <v>241296</v>
      </c>
      <c r="J33" s="189">
        <f t="shared" ref="J33" si="14">G33*40%</f>
        <v>99476</v>
      </c>
      <c r="K33" s="189"/>
      <c r="L33" s="189">
        <f t="shared" ref="L33" si="15">SUM(G33:K33)</f>
        <v>620548.25</v>
      </c>
    </row>
    <row r="34" spans="1:12" s="16" customFormat="1" ht="21.95" customHeight="1">
      <c r="A34" s="196">
        <v>19</v>
      </c>
      <c r="B34" s="162" t="s">
        <v>138</v>
      </c>
      <c r="C34" s="166">
        <v>11</v>
      </c>
      <c r="D34" s="166">
        <v>1</v>
      </c>
      <c r="E34" s="20">
        <v>0</v>
      </c>
      <c r="F34" s="20">
        <v>1</v>
      </c>
      <c r="G34" s="189">
        <v>232970</v>
      </c>
      <c r="H34" s="189">
        <f t="shared" si="8"/>
        <v>29121.25</v>
      </c>
      <c r="I34" s="189">
        <v>292818</v>
      </c>
      <c r="J34" s="189">
        <f t="shared" si="9"/>
        <v>93188</v>
      </c>
      <c r="K34" s="189"/>
      <c r="L34" s="189">
        <f t="shared" si="10"/>
        <v>648097.25</v>
      </c>
    </row>
    <row r="35" spans="1:12" s="16" customFormat="1" ht="21.95" customHeight="1">
      <c r="A35" s="196">
        <v>20</v>
      </c>
      <c r="B35" s="162" t="s">
        <v>97</v>
      </c>
      <c r="C35" s="164" t="s">
        <v>180</v>
      </c>
      <c r="D35" s="166">
        <v>1</v>
      </c>
      <c r="E35" s="20">
        <v>0</v>
      </c>
      <c r="F35" s="20">
        <f t="shared" si="11"/>
        <v>1</v>
      </c>
      <c r="G35" s="189">
        <v>390170</v>
      </c>
      <c r="H35" s="189">
        <f t="shared" si="8"/>
        <v>48771.25</v>
      </c>
      <c r="I35" s="189">
        <v>326166</v>
      </c>
      <c r="J35" s="189">
        <f t="shared" si="9"/>
        <v>156068</v>
      </c>
      <c r="K35" s="189"/>
      <c r="L35" s="189">
        <f t="shared" si="10"/>
        <v>921175.25</v>
      </c>
    </row>
    <row r="36" spans="1:12" s="16" customFormat="1" ht="21.95" customHeight="1">
      <c r="A36" s="196">
        <v>21</v>
      </c>
      <c r="B36" s="162" t="s">
        <v>11</v>
      </c>
      <c r="C36" s="164">
        <v>11</v>
      </c>
      <c r="D36" s="166">
        <v>1</v>
      </c>
      <c r="E36" s="20">
        <v>0</v>
      </c>
      <c r="F36" s="20">
        <v>1</v>
      </c>
      <c r="G36" s="189">
        <v>232970</v>
      </c>
      <c r="H36" s="189">
        <f t="shared" si="8"/>
        <v>29121.25</v>
      </c>
      <c r="I36" s="189">
        <v>235794</v>
      </c>
      <c r="J36" s="189">
        <f t="shared" si="9"/>
        <v>93188</v>
      </c>
      <c r="K36" s="189"/>
      <c r="L36" s="189">
        <f t="shared" si="10"/>
        <v>591073.25</v>
      </c>
    </row>
    <row r="37" spans="1:12" s="16" customFormat="1" ht="21.95" customHeight="1">
      <c r="A37" s="196">
        <v>22</v>
      </c>
      <c r="B37" s="162" t="s">
        <v>190</v>
      </c>
      <c r="C37" s="164">
        <v>11</v>
      </c>
      <c r="D37" s="166">
        <v>0</v>
      </c>
      <c r="E37" s="20">
        <v>1</v>
      </c>
      <c r="F37" s="20">
        <v>1</v>
      </c>
      <c r="G37" s="189">
        <v>590610</v>
      </c>
      <c r="H37" s="189">
        <f t="shared" si="8"/>
        <v>73826.25</v>
      </c>
      <c r="I37" s="189">
        <v>257562</v>
      </c>
      <c r="J37" s="189">
        <f t="shared" si="9"/>
        <v>236244</v>
      </c>
      <c r="K37" s="189"/>
      <c r="L37" s="189">
        <f t="shared" si="10"/>
        <v>1158242.25</v>
      </c>
    </row>
    <row r="38" spans="1:12" s="16" customFormat="1" ht="21.95" customHeight="1">
      <c r="A38" s="196">
        <v>23</v>
      </c>
      <c r="B38" s="162" t="s">
        <v>107</v>
      </c>
      <c r="C38" s="164" t="s">
        <v>182</v>
      </c>
      <c r="D38" s="164">
        <v>1</v>
      </c>
      <c r="E38" s="20">
        <v>0</v>
      </c>
      <c r="F38" s="20">
        <f t="shared" si="11"/>
        <v>1</v>
      </c>
      <c r="G38" s="189">
        <v>314010</v>
      </c>
      <c r="H38" s="189">
        <f t="shared" si="8"/>
        <v>39251.25</v>
      </c>
      <c r="I38" s="189">
        <v>268482</v>
      </c>
      <c r="J38" s="189">
        <f t="shared" si="9"/>
        <v>125604</v>
      </c>
      <c r="K38" s="189"/>
      <c r="L38" s="189">
        <f t="shared" si="10"/>
        <v>747347.25</v>
      </c>
    </row>
    <row r="39" spans="1:12" s="16" customFormat="1" ht="21.95" customHeight="1">
      <c r="A39" s="196">
        <v>24</v>
      </c>
      <c r="B39" s="162" t="s">
        <v>12</v>
      </c>
      <c r="C39" s="164">
        <v>5</v>
      </c>
      <c r="D39" s="164">
        <v>1</v>
      </c>
      <c r="E39" s="20">
        <v>0</v>
      </c>
      <c r="F39" s="20">
        <f>SUM(D39:E39)</f>
        <v>1</v>
      </c>
      <c r="G39" s="189">
        <v>215010</v>
      </c>
      <c r="H39" s="189">
        <f t="shared" si="8"/>
        <v>26876.25</v>
      </c>
      <c r="I39" s="189">
        <v>256752</v>
      </c>
      <c r="J39" s="189">
        <f t="shared" si="9"/>
        <v>86004</v>
      </c>
      <c r="K39" s="189"/>
      <c r="L39" s="189">
        <f t="shared" si="10"/>
        <v>584642.25</v>
      </c>
    </row>
    <row r="40" spans="1:12" s="16" customFormat="1" ht="21.95" customHeight="1">
      <c r="A40" s="196">
        <v>25</v>
      </c>
      <c r="B40" s="162" t="s">
        <v>184</v>
      </c>
      <c r="C40" s="166">
        <v>1</v>
      </c>
      <c r="D40" s="164">
        <v>1</v>
      </c>
      <c r="E40" s="20">
        <v>0</v>
      </c>
      <c r="F40" s="20">
        <f t="shared" si="11"/>
        <v>1</v>
      </c>
      <c r="G40" s="189">
        <v>419770</v>
      </c>
      <c r="H40" s="189">
        <f t="shared" si="8"/>
        <v>52471.25</v>
      </c>
      <c r="I40" s="189">
        <v>328602</v>
      </c>
      <c r="J40" s="189">
        <f t="shared" si="9"/>
        <v>167908</v>
      </c>
      <c r="K40" s="189"/>
      <c r="L40" s="189">
        <f t="shared" si="10"/>
        <v>968751.25</v>
      </c>
    </row>
    <row r="41" spans="1:12" s="16" customFormat="1" ht="21.95" customHeight="1">
      <c r="A41" s="196">
        <v>26</v>
      </c>
      <c r="B41" s="162" t="s">
        <v>98</v>
      </c>
      <c r="C41" s="164">
        <v>2</v>
      </c>
      <c r="D41" s="164">
        <v>1</v>
      </c>
      <c r="E41" s="20">
        <v>0</v>
      </c>
      <c r="F41" s="20">
        <f t="shared" si="11"/>
        <v>1</v>
      </c>
      <c r="G41" s="189">
        <v>187860</v>
      </c>
      <c r="H41" s="189">
        <f t="shared" si="8"/>
        <v>23482.5</v>
      </c>
      <c r="I41" s="189">
        <v>228582</v>
      </c>
      <c r="J41" s="189">
        <f t="shared" si="9"/>
        <v>75144</v>
      </c>
      <c r="K41" s="189"/>
      <c r="L41" s="189">
        <f t="shared" si="10"/>
        <v>515068.5</v>
      </c>
    </row>
    <row r="42" spans="1:12" s="16" customFormat="1" ht="21.95" customHeight="1">
      <c r="A42" s="196">
        <v>27</v>
      </c>
      <c r="B42" s="162" t="s">
        <v>19</v>
      </c>
      <c r="C42" s="164">
        <v>4</v>
      </c>
      <c r="D42" s="164">
        <v>1</v>
      </c>
      <c r="E42" s="20">
        <v>0</v>
      </c>
      <c r="F42" s="20">
        <f t="shared" si="11"/>
        <v>1</v>
      </c>
      <c r="G42" s="189">
        <v>361450</v>
      </c>
      <c r="H42" s="189">
        <f t="shared" si="8"/>
        <v>45181.25</v>
      </c>
      <c r="I42" s="189">
        <v>293358</v>
      </c>
      <c r="J42" s="189">
        <f t="shared" si="9"/>
        <v>144580</v>
      </c>
      <c r="K42" s="189"/>
      <c r="L42" s="189">
        <f t="shared" si="10"/>
        <v>844569.25</v>
      </c>
    </row>
    <row r="43" spans="1:12" s="16" customFormat="1" ht="21.95" customHeight="1">
      <c r="A43" s="196">
        <v>28</v>
      </c>
      <c r="B43" s="162" t="s">
        <v>13</v>
      </c>
      <c r="C43" s="166">
        <v>1</v>
      </c>
      <c r="D43" s="166">
        <v>1</v>
      </c>
      <c r="E43" s="20">
        <v>0</v>
      </c>
      <c r="F43" s="20">
        <f t="shared" si="11"/>
        <v>1</v>
      </c>
      <c r="G43" s="189">
        <v>186250</v>
      </c>
      <c r="H43" s="189">
        <f t="shared" si="8"/>
        <v>23281.25</v>
      </c>
      <c r="I43" s="189">
        <v>228582</v>
      </c>
      <c r="J43" s="189">
        <f t="shared" si="9"/>
        <v>74500</v>
      </c>
      <c r="K43" s="189"/>
      <c r="L43" s="189">
        <f t="shared" si="10"/>
        <v>512613.25</v>
      </c>
    </row>
    <row r="44" spans="1:12" s="16" customFormat="1" ht="21.95" customHeight="1">
      <c r="A44" s="196">
        <v>29</v>
      </c>
      <c r="B44" s="162" t="s">
        <v>13</v>
      </c>
      <c r="C44" s="166">
        <v>1</v>
      </c>
      <c r="D44" s="166">
        <v>1</v>
      </c>
      <c r="E44" s="20">
        <v>0</v>
      </c>
      <c r="F44" s="20">
        <f t="shared" ref="F44:F46" si="16">SUM(D44:E44)</f>
        <v>1</v>
      </c>
      <c r="G44" s="189">
        <v>170770</v>
      </c>
      <c r="H44" s="189">
        <f t="shared" si="8"/>
        <v>21346.25</v>
      </c>
      <c r="I44" s="189">
        <v>185244</v>
      </c>
      <c r="J44" s="189">
        <f t="shared" ref="J44:J46" si="17">G44*40%</f>
        <v>68308</v>
      </c>
      <c r="K44" s="189"/>
      <c r="L44" s="189">
        <f t="shared" ref="L44:L46" si="18">SUM(G44:K44)</f>
        <v>445668.25</v>
      </c>
    </row>
    <row r="45" spans="1:12" s="16" customFormat="1" ht="21.95" customHeight="1">
      <c r="A45" s="196">
        <v>30</v>
      </c>
      <c r="B45" s="162" t="s">
        <v>13</v>
      </c>
      <c r="C45" s="166">
        <v>1</v>
      </c>
      <c r="D45" s="166">
        <v>1</v>
      </c>
      <c r="E45" s="20">
        <v>0</v>
      </c>
      <c r="F45" s="20">
        <f t="shared" si="16"/>
        <v>1</v>
      </c>
      <c r="G45" s="189">
        <v>170770</v>
      </c>
      <c r="H45" s="189">
        <f t="shared" si="8"/>
        <v>21346.25</v>
      </c>
      <c r="I45" s="189">
        <v>185244</v>
      </c>
      <c r="J45" s="189">
        <f t="shared" si="17"/>
        <v>68308</v>
      </c>
      <c r="K45" s="189"/>
      <c r="L45" s="189">
        <f t="shared" si="18"/>
        <v>445668.25</v>
      </c>
    </row>
    <row r="46" spans="1:12" s="16" customFormat="1" ht="21.95" customHeight="1">
      <c r="A46" s="196">
        <v>31</v>
      </c>
      <c r="B46" s="162" t="s">
        <v>13</v>
      </c>
      <c r="C46" s="166">
        <v>1</v>
      </c>
      <c r="D46" s="166">
        <v>1</v>
      </c>
      <c r="E46" s="20">
        <v>0</v>
      </c>
      <c r="F46" s="20">
        <f t="shared" si="16"/>
        <v>1</v>
      </c>
      <c r="G46" s="189">
        <v>165610</v>
      </c>
      <c r="H46" s="189">
        <f t="shared" si="8"/>
        <v>20701.25</v>
      </c>
      <c r="I46" s="189">
        <v>183414</v>
      </c>
      <c r="J46" s="189">
        <f t="shared" si="17"/>
        <v>66244</v>
      </c>
      <c r="K46" s="189">
        <f>4065*12</f>
        <v>48780</v>
      </c>
      <c r="L46" s="189">
        <f t="shared" si="18"/>
        <v>484749.25</v>
      </c>
    </row>
    <row r="47" spans="1:12" s="16" customFormat="1" ht="21.95" customHeight="1">
      <c r="A47" s="196">
        <v>32</v>
      </c>
      <c r="B47" s="162" t="s">
        <v>108</v>
      </c>
      <c r="C47" s="164">
        <v>1</v>
      </c>
      <c r="D47" s="166">
        <v>1</v>
      </c>
      <c r="E47" s="20">
        <v>0</v>
      </c>
      <c r="F47" s="20">
        <f>SUM(D47:E47)</f>
        <v>1</v>
      </c>
      <c r="G47" s="189">
        <v>165610</v>
      </c>
      <c r="H47" s="189">
        <f t="shared" si="8"/>
        <v>20701.25</v>
      </c>
      <c r="I47" s="189">
        <v>183414</v>
      </c>
      <c r="J47" s="189">
        <f t="shared" si="9"/>
        <v>66244</v>
      </c>
      <c r="K47" s="189"/>
      <c r="L47" s="189">
        <f t="shared" si="10"/>
        <v>435969.25</v>
      </c>
    </row>
    <row r="48" spans="1:12" s="16" customFormat="1" ht="21.95" customHeight="1">
      <c r="A48" s="196">
        <v>33</v>
      </c>
      <c r="B48" s="162" t="s">
        <v>24</v>
      </c>
      <c r="C48" s="164" t="s">
        <v>45</v>
      </c>
      <c r="D48" s="166">
        <v>1</v>
      </c>
      <c r="E48" s="20">
        <v>0</v>
      </c>
      <c r="F48" s="20">
        <f t="shared" si="11"/>
        <v>1</v>
      </c>
      <c r="G48" s="189">
        <v>180000</v>
      </c>
      <c r="H48" s="189">
        <f t="shared" si="8"/>
        <v>22500</v>
      </c>
      <c r="I48" s="189">
        <v>0</v>
      </c>
      <c r="J48" s="189">
        <f t="shared" si="9"/>
        <v>72000</v>
      </c>
      <c r="K48" s="189"/>
      <c r="L48" s="189">
        <f t="shared" si="10"/>
        <v>274500</v>
      </c>
    </row>
    <row r="49" spans="1:14" s="193" customFormat="1" ht="21.95" customHeight="1">
      <c r="A49" s="295" t="s">
        <v>1</v>
      </c>
      <c r="B49" s="296"/>
      <c r="C49" s="297"/>
      <c r="D49" s="191">
        <f t="shared" ref="D49:L49" si="19">SUM(D23:D48)</f>
        <v>24</v>
      </c>
      <c r="E49" s="191">
        <f t="shared" si="19"/>
        <v>2</v>
      </c>
      <c r="F49" s="191">
        <f t="shared" si="19"/>
        <v>26</v>
      </c>
      <c r="G49" s="191">
        <f t="shared" si="19"/>
        <v>10069450</v>
      </c>
      <c r="H49" s="191">
        <f t="shared" si="19"/>
        <v>1258681.25</v>
      </c>
      <c r="I49" s="191">
        <f t="shared" si="19"/>
        <v>8243182</v>
      </c>
      <c r="J49" s="191">
        <f t="shared" si="19"/>
        <v>4027780</v>
      </c>
      <c r="K49" s="191">
        <f t="shared" si="19"/>
        <v>211032</v>
      </c>
      <c r="L49" s="191">
        <f t="shared" si="19"/>
        <v>23810125.25</v>
      </c>
      <c r="M49" s="192">
        <f>L49-8009000</f>
        <v>15801125.25</v>
      </c>
      <c r="N49" s="192">
        <f>L49-8184260</f>
        <v>15625865.25</v>
      </c>
    </row>
    <row r="50" spans="1:14" s="193" customFormat="1" ht="25.5" customHeight="1">
      <c r="A50" s="290" t="s">
        <v>186</v>
      </c>
      <c r="B50" s="291"/>
      <c r="C50" s="292"/>
      <c r="D50" s="191"/>
      <c r="E50" s="191"/>
      <c r="F50" s="191"/>
      <c r="G50" s="191"/>
      <c r="H50" s="191"/>
      <c r="I50" s="191"/>
      <c r="J50" s="191"/>
      <c r="K50" s="191"/>
      <c r="L50" s="191"/>
      <c r="M50" s="192"/>
      <c r="N50" s="192"/>
    </row>
    <row r="51" spans="1:14" s="16" customFormat="1" ht="31.5" customHeight="1">
      <c r="A51" s="197">
        <v>34</v>
      </c>
      <c r="B51" s="161" t="s">
        <v>186</v>
      </c>
      <c r="C51" s="163">
        <v>17</v>
      </c>
      <c r="D51" s="164">
        <v>0</v>
      </c>
      <c r="E51" s="20">
        <v>1</v>
      </c>
      <c r="F51" s="20">
        <f>SUM(D51:E51)</f>
        <v>1</v>
      </c>
      <c r="G51" s="189">
        <v>646860</v>
      </c>
      <c r="H51" s="189">
        <f t="shared" ref="H51:H69" si="20">G51*12.5%</f>
        <v>80857.5</v>
      </c>
      <c r="I51" s="189">
        <v>645528</v>
      </c>
      <c r="J51" s="189">
        <f>G51*40%</f>
        <v>258744</v>
      </c>
      <c r="K51" s="189">
        <f>13521*12</f>
        <v>162252</v>
      </c>
      <c r="L51" s="189">
        <f t="shared" ref="L51:L121" si="21">SUM(G51:K51)</f>
        <v>1794241.5</v>
      </c>
    </row>
    <row r="52" spans="1:14" s="16" customFormat="1" ht="21.95" customHeight="1">
      <c r="A52" s="197">
        <v>35</v>
      </c>
      <c r="B52" s="162" t="s">
        <v>95</v>
      </c>
      <c r="C52" s="164">
        <v>16</v>
      </c>
      <c r="D52" s="164">
        <v>1</v>
      </c>
      <c r="E52" s="20">
        <v>0</v>
      </c>
      <c r="F52" s="20">
        <f t="shared" ref="F52:F69" si="22">SUM(D52:E52)</f>
        <v>1</v>
      </c>
      <c r="G52" s="189">
        <v>352660</v>
      </c>
      <c r="H52" s="189">
        <f t="shared" si="20"/>
        <v>44082.5</v>
      </c>
      <c r="I52" s="189">
        <v>415530</v>
      </c>
      <c r="J52" s="189">
        <f t="shared" ref="J52:J69" si="23">G52*40%</f>
        <v>141064</v>
      </c>
      <c r="K52" s="189"/>
      <c r="L52" s="189">
        <f t="shared" si="21"/>
        <v>953336.5</v>
      </c>
    </row>
    <row r="53" spans="1:14" s="16" customFormat="1" ht="21.95" customHeight="1">
      <c r="A53" s="197">
        <v>36</v>
      </c>
      <c r="B53" s="162" t="s">
        <v>136</v>
      </c>
      <c r="C53" s="164">
        <v>15</v>
      </c>
      <c r="D53" s="164">
        <v>1</v>
      </c>
      <c r="E53" s="20">
        <v>0</v>
      </c>
      <c r="F53" s="20">
        <v>1</v>
      </c>
      <c r="G53" s="189">
        <v>352660</v>
      </c>
      <c r="H53" s="189">
        <f t="shared" si="20"/>
        <v>44082.5</v>
      </c>
      <c r="I53" s="189">
        <v>320188</v>
      </c>
      <c r="J53" s="189">
        <f t="shared" si="23"/>
        <v>141064</v>
      </c>
      <c r="K53" s="189"/>
      <c r="L53" s="189">
        <f t="shared" si="21"/>
        <v>857994.5</v>
      </c>
    </row>
    <row r="54" spans="1:14" s="16" customFormat="1" ht="21.95" customHeight="1">
      <c r="A54" s="197">
        <v>37</v>
      </c>
      <c r="B54" s="162" t="s">
        <v>22</v>
      </c>
      <c r="C54" s="164">
        <v>14</v>
      </c>
      <c r="D54" s="164">
        <v>1</v>
      </c>
      <c r="E54" s="20">
        <v>0</v>
      </c>
      <c r="F54" s="20">
        <v>1</v>
      </c>
      <c r="G54" s="189">
        <v>282540</v>
      </c>
      <c r="H54" s="189">
        <f t="shared" si="20"/>
        <v>35317.5</v>
      </c>
      <c r="I54" s="189">
        <v>300126</v>
      </c>
      <c r="J54" s="189">
        <f t="shared" si="23"/>
        <v>113016</v>
      </c>
      <c r="K54" s="189"/>
      <c r="L54" s="189">
        <f t="shared" si="21"/>
        <v>730999.5</v>
      </c>
    </row>
    <row r="55" spans="1:14" s="16" customFormat="1" ht="21.95" customHeight="1">
      <c r="A55" s="197">
        <v>38</v>
      </c>
      <c r="B55" s="162" t="s">
        <v>16</v>
      </c>
      <c r="C55" s="164">
        <v>14</v>
      </c>
      <c r="D55" s="164">
        <v>1</v>
      </c>
      <c r="E55" s="20">
        <v>0</v>
      </c>
      <c r="F55" s="20">
        <v>1</v>
      </c>
      <c r="G55" s="189">
        <v>700140</v>
      </c>
      <c r="H55" s="189">
        <f t="shared" si="20"/>
        <v>87517.5</v>
      </c>
      <c r="I55" s="189">
        <v>499854</v>
      </c>
      <c r="J55" s="189">
        <f t="shared" si="23"/>
        <v>280056</v>
      </c>
      <c r="K55" s="189"/>
      <c r="L55" s="189">
        <f t="shared" si="21"/>
        <v>1567567.5</v>
      </c>
    </row>
    <row r="56" spans="1:14" s="16" customFormat="1" ht="21.95" customHeight="1">
      <c r="A56" s="197">
        <v>39</v>
      </c>
      <c r="B56" s="173" t="s">
        <v>185</v>
      </c>
      <c r="C56" s="166">
        <v>14</v>
      </c>
      <c r="D56" s="165">
        <v>1</v>
      </c>
      <c r="E56" s="20">
        <v>0</v>
      </c>
      <c r="F56" s="20">
        <f t="shared" si="22"/>
        <v>1</v>
      </c>
      <c r="G56" s="189">
        <v>700140</v>
      </c>
      <c r="H56" s="189">
        <f t="shared" si="20"/>
        <v>87517.5</v>
      </c>
      <c r="I56" s="189">
        <v>499854</v>
      </c>
      <c r="J56" s="189">
        <f t="shared" si="23"/>
        <v>280056</v>
      </c>
      <c r="K56" s="189"/>
      <c r="L56" s="189">
        <f t="shared" si="21"/>
        <v>1567567.5</v>
      </c>
    </row>
    <row r="57" spans="1:14" s="16" customFormat="1" ht="21.95" customHeight="1">
      <c r="A57" s="197">
        <v>40</v>
      </c>
      <c r="B57" s="162" t="s">
        <v>139</v>
      </c>
      <c r="C57" s="164" t="s">
        <v>187</v>
      </c>
      <c r="D57" s="164">
        <v>1</v>
      </c>
      <c r="E57" s="20">
        <v>0</v>
      </c>
      <c r="F57" s="20">
        <f>SUM(D57:E57)</f>
        <v>1</v>
      </c>
      <c r="G57" s="189">
        <v>366060</v>
      </c>
      <c r="H57" s="189">
        <f t="shared" si="20"/>
        <v>45757.5</v>
      </c>
      <c r="I57" s="189">
        <v>399774</v>
      </c>
      <c r="J57" s="189">
        <f t="shared" si="23"/>
        <v>146424</v>
      </c>
      <c r="K57" s="189"/>
      <c r="L57" s="189">
        <f t="shared" si="21"/>
        <v>958015.5</v>
      </c>
    </row>
    <row r="58" spans="1:14" s="16" customFormat="1" ht="21.95" customHeight="1">
      <c r="A58" s="197">
        <v>41</v>
      </c>
      <c r="B58" s="162" t="s">
        <v>137</v>
      </c>
      <c r="C58" s="164" t="s">
        <v>187</v>
      </c>
      <c r="D58" s="164">
        <v>1</v>
      </c>
      <c r="E58" s="20">
        <v>0</v>
      </c>
      <c r="F58" s="20">
        <f>SUM(D58:E58)</f>
        <v>1</v>
      </c>
      <c r="G58" s="189">
        <v>491340</v>
      </c>
      <c r="H58" s="189">
        <f t="shared" si="20"/>
        <v>61417.5</v>
      </c>
      <c r="I58" s="189">
        <v>387954</v>
      </c>
      <c r="J58" s="189">
        <f t="shared" si="23"/>
        <v>196536</v>
      </c>
      <c r="K58" s="189"/>
      <c r="L58" s="189">
        <f t="shared" si="21"/>
        <v>1137247.5</v>
      </c>
    </row>
    <row r="59" spans="1:14" s="16" customFormat="1" ht="21.95" customHeight="1">
      <c r="A59" s="197">
        <v>42</v>
      </c>
      <c r="B59" s="162" t="s">
        <v>100</v>
      </c>
      <c r="C59" s="164" t="s">
        <v>187</v>
      </c>
      <c r="D59" s="166">
        <v>1</v>
      </c>
      <c r="E59" s="20">
        <v>0</v>
      </c>
      <c r="F59" s="20">
        <f>SUM(D59:E59)</f>
        <v>1</v>
      </c>
      <c r="G59" s="189">
        <v>491340</v>
      </c>
      <c r="H59" s="189">
        <f t="shared" si="20"/>
        <v>61417.5</v>
      </c>
      <c r="I59" s="189">
        <v>387954</v>
      </c>
      <c r="J59" s="189">
        <f t="shared" si="23"/>
        <v>196536</v>
      </c>
      <c r="K59" s="189"/>
      <c r="L59" s="189">
        <f t="shared" si="21"/>
        <v>1137247.5</v>
      </c>
    </row>
    <row r="60" spans="1:14" s="16" customFormat="1" ht="21.95" customHeight="1">
      <c r="A60" s="197">
        <v>43</v>
      </c>
      <c r="B60" s="162" t="s">
        <v>11</v>
      </c>
      <c r="C60" s="164">
        <v>11</v>
      </c>
      <c r="D60" s="164">
        <v>1</v>
      </c>
      <c r="E60" s="20">
        <v>0</v>
      </c>
      <c r="F60" s="20">
        <f t="shared" si="22"/>
        <v>1</v>
      </c>
      <c r="G60" s="189">
        <v>390170</v>
      </c>
      <c r="H60" s="189">
        <f t="shared" si="20"/>
        <v>48771.25</v>
      </c>
      <c r="I60" s="189">
        <v>321606</v>
      </c>
      <c r="J60" s="189">
        <f t="shared" si="23"/>
        <v>156068</v>
      </c>
      <c r="K60" s="189"/>
      <c r="L60" s="189">
        <f t="shared" si="21"/>
        <v>916615.25</v>
      </c>
    </row>
    <row r="61" spans="1:14" s="16" customFormat="1" ht="21.95" customHeight="1">
      <c r="A61" s="197">
        <v>44</v>
      </c>
      <c r="B61" s="162" t="s">
        <v>11</v>
      </c>
      <c r="C61" s="164">
        <v>11</v>
      </c>
      <c r="D61" s="164">
        <v>1</v>
      </c>
      <c r="E61" s="20">
        <v>0</v>
      </c>
      <c r="F61" s="20">
        <f t="shared" ref="F61" si="24">SUM(D61:E61)</f>
        <v>1</v>
      </c>
      <c r="G61" s="189">
        <v>295850</v>
      </c>
      <c r="H61" s="189">
        <f t="shared" si="20"/>
        <v>36981.25</v>
      </c>
      <c r="I61" s="189">
        <v>320106</v>
      </c>
      <c r="J61" s="189">
        <f t="shared" ref="J61" si="25">G61*40%</f>
        <v>118340</v>
      </c>
      <c r="K61" s="189"/>
      <c r="L61" s="189">
        <f t="shared" ref="L61" si="26">SUM(G61:K61)</f>
        <v>771277.25</v>
      </c>
    </row>
    <row r="62" spans="1:14" s="16" customFormat="1" ht="21.95" customHeight="1">
      <c r="A62" s="197">
        <v>45</v>
      </c>
      <c r="B62" s="162" t="s">
        <v>185</v>
      </c>
      <c r="C62" s="167">
        <v>11</v>
      </c>
      <c r="D62" s="165">
        <v>1</v>
      </c>
      <c r="E62" s="20">
        <v>0</v>
      </c>
      <c r="F62" s="20">
        <f t="shared" si="22"/>
        <v>1</v>
      </c>
      <c r="G62" s="189">
        <v>718010</v>
      </c>
      <c r="H62" s="189">
        <f t="shared" si="20"/>
        <v>89751.25</v>
      </c>
      <c r="I62" s="189">
        <v>481362</v>
      </c>
      <c r="J62" s="189">
        <f t="shared" si="23"/>
        <v>287204</v>
      </c>
      <c r="K62" s="189"/>
      <c r="L62" s="189">
        <f t="shared" si="21"/>
        <v>1576327.25</v>
      </c>
    </row>
    <row r="63" spans="1:14" s="16" customFormat="1" ht="21.95" customHeight="1">
      <c r="A63" s="197">
        <v>46</v>
      </c>
      <c r="B63" s="162" t="s">
        <v>185</v>
      </c>
      <c r="C63" s="167">
        <v>11</v>
      </c>
      <c r="D63" s="165">
        <v>1</v>
      </c>
      <c r="E63" s="20">
        <v>0</v>
      </c>
      <c r="F63" s="20">
        <f t="shared" ref="F63" si="27">SUM(D63:E63)</f>
        <v>1</v>
      </c>
      <c r="G63" s="189">
        <v>563090</v>
      </c>
      <c r="H63" s="189">
        <f t="shared" si="20"/>
        <v>70386.25</v>
      </c>
      <c r="I63" s="189">
        <v>414696</v>
      </c>
      <c r="J63" s="189">
        <f t="shared" ref="J63" si="28">G63*40%</f>
        <v>225236</v>
      </c>
      <c r="K63" s="189"/>
      <c r="L63" s="189">
        <f t="shared" ref="L63" si="29">SUM(G63:K63)</f>
        <v>1273408.25</v>
      </c>
    </row>
    <row r="64" spans="1:14" s="16" customFormat="1" ht="21.95" customHeight="1">
      <c r="A64" s="197">
        <v>47</v>
      </c>
      <c r="B64" s="162" t="s">
        <v>140</v>
      </c>
      <c r="C64" s="164" t="s">
        <v>180</v>
      </c>
      <c r="D64" s="164">
        <v>1</v>
      </c>
      <c r="E64" s="22">
        <v>0</v>
      </c>
      <c r="F64" s="22">
        <f t="shared" si="22"/>
        <v>1</v>
      </c>
      <c r="G64" s="189">
        <v>232970</v>
      </c>
      <c r="H64" s="189">
        <f t="shared" si="20"/>
        <v>29121.25</v>
      </c>
      <c r="I64" s="189">
        <v>257682</v>
      </c>
      <c r="J64" s="189">
        <f t="shared" si="23"/>
        <v>93188</v>
      </c>
      <c r="K64" s="189"/>
      <c r="L64" s="189">
        <f t="shared" si="21"/>
        <v>612961.25</v>
      </c>
    </row>
    <row r="65" spans="1:14" s="16" customFormat="1" ht="21.95" customHeight="1">
      <c r="A65" s="197">
        <v>48</v>
      </c>
      <c r="B65" s="162" t="s">
        <v>140</v>
      </c>
      <c r="C65" s="164" t="s">
        <v>180</v>
      </c>
      <c r="D65" s="164">
        <v>1</v>
      </c>
      <c r="E65" s="22">
        <v>0</v>
      </c>
      <c r="F65" s="22">
        <f t="shared" ref="F65" si="30">SUM(D65:E65)</f>
        <v>1</v>
      </c>
      <c r="G65" s="189">
        <v>232970</v>
      </c>
      <c r="H65" s="189">
        <f t="shared" si="20"/>
        <v>29121.25</v>
      </c>
      <c r="I65" s="189">
        <v>257682</v>
      </c>
      <c r="J65" s="189">
        <f t="shared" ref="J65" si="31">G65*40%</f>
        <v>93188</v>
      </c>
      <c r="K65" s="189"/>
      <c r="L65" s="189">
        <f t="shared" ref="L65" si="32">SUM(G65:K65)</f>
        <v>612961.25</v>
      </c>
    </row>
    <row r="66" spans="1:14" s="16" customFormat="1" ht="21.95" customHeight="1">
      <c r="A66" s="197">
        <v>49</v>
      </c>
      <c r="B66" s="162" t="s">
        <v>231</v>
      </c>
      <c r="C66" s="164">
        <v>11</v>
      </c>
      <c r="D66" s="164">
        <v>1</v>
      </c>
      <c r="E66" s="22">
        <v>0</v>
      </c>
      <c r="F66" s="22">
        <f t="shared" si="22"/>
        <v>1</v>
      </c>
      <c r="G66" s="189">
        <v>610250</v>
      </c>
      <c r="H66" s="189">
        <f t="shared" si="20"/>
        <v>76281.25</v>
      </c>
      <c r="I66" s="189">
        <v>440706</v>
      </c>
      <c r="J66" s="189">
        <f t="shared" si="23"/>
        <v>244100</v>
      </c>
      <c r="K66" s="189"/>
      <c r="L66" s="189">
        <f t="shared" si="21"/>
        <v>1371337.25</v>
      </c>
    </row>
    <row r="67" spans="1:14" s="16" customFormat="1" ht="21.95" customHeight="1">
      <c r="A67" s="197">
        <v>50</v>
      </c>
      <c r="B67" s="162" t="s">
        <v>190</v>
      </c>
      <c r="C67" s="164">
        <v>11</v>
      </c>
      <c r="D67" s="164">
        <v>0</v>
      </c>
      <c r="E67" s="20">
        <v>1</v>
      </c>
      <c r="F67" s="20">
        <f t="shared" si="22"/>
        <v>1</v>
      </c>
      <c r="G67" s="189">
        <v>531650</v>
      </c>
      <c r="H67" s="189">
        <f t="shared" si="20"/>
        <v>66456.25</v>
      </c>
      <c r="I67" s="189">
        <v>397356</v>
      </c>
      <c r="J67" s="189">
        <f t="shared" si="23"/>
        <v>212660</v>
      </c>
      <c r="K67" s="189"/>
      <c r="L67" s="189">
        <f t="shared" si="21"/>
        <v>1208122.25</v>
      </c>
    </row>
    <row r="68" spans="1:14" s="16" customFormat="1" ht="21.95" customHeight="1">
      <c r="A68" s="197">
        <v>51</v>
      </c>
      <c r="B68" s="162" t="s">
        <v>13</v>
      </c>
      <c r="C68" s="164">
        <v>2</v>
      </c>
      <c r="D68" s="164">
        <v>1</v>
      </c>
      <c r="E68" s="20">
        <v>0</v>
      </c>
      <c r="F68" s="20">
        <f t="shared" si="22"/>
        <v>1</v>
      </c>
      <c r="G68" s="189">
        <v>247530</v>
      </c>
      <c r="H68" s="189">
        <f t="shared" si="20"/>
        <v>30941.25</v>
      </c>
      <c r="I68" s="189">
        <v>227118</v>
      </c>
      <c r="J68" s="189">
        <f t="shared" si="23"/>
        <v>99012</v>
      </c>
      <c r="K68" s="189"/>
      <c r="L68" s="189">
        <f t="shared" si="21"/>
        <v>604601.25</v>
      </c>
    </row>
    <row r="69" spans="1:14" s="16" customFormat="1" ht="21.95" customHeight="1">
      <c r="A69" s="197">
        <v>52</v>
      </c>
      <c r="B69" s="162" t="s">
        <v>207</v>
      </c>
      <c r="C69" s="164" t="s">
        <v>45</v>
      </c>
      <c r="D69" s="164">
        <v>1</v>
      </c>
      <c r="E69" s="20">
        <v>0</v>
      </c>
      <c r="F69" s="20">
        <f t="shared" si="22"/>
        <v>1</v>
      </c>
      <c r="G69" s="189">
        <v>36000</v>
      </c>
      <c r="H69" s="189">
        <f t="shared" si="20"/>
        <v>4500</v>
      </c>
      <c r="I69" s="189">
        <v>0</v>
      </c>
      <c r="J69" s="189">
        <f t="shared" si="23"/>
        <v>14400</v>
      </c>
      <c r="K69" s="189"/>
      <c r="L69" s="189">
        <f t="shared" si="21"/>
        <v>54900</v>
      </c>
    </row>
    <row r="70" spans="1:14" s="193" customFormat="1" ht="21.95" customHeight="1">
      <c r="A70" s="280" t="s">
        <v>1</v>
      </c>
      <c r="B70" s="281"/>
      <c r="C70" s="282"/>
      <c r="D70" s="191">
        <f>SUM(D51:D69)</f>
        <v>17</v>
      </c>
      <c r="E70" s="191">
        <f>SUM(E51:E69)</f>
        <v>2</v>
      </c>
      <c r="F70" s="191">
        <f>SUM(F51:F69)</f>
        <v>19</v>
      </c>
      <c r="G70" s="191">
        <f>SUM(G51:G69)</f>
        <v>8242230</v>
      </c>
      <c r="H70" s="191">
        <f>SUM(H51:H69)</f>
        <v>1030278.75</v>
      </c>
      <c r="I70" s="191"/>
      <c r="J70" s="191">
        <f>SUM(J51:J69)</f>
        <v>3296892</v>
      </c>
      <c r="K70" s="191">
        <f>SUM(K51:K69)</f>
        <v>162252</v>
      </c>
      <c r="L70" s="191">
        <f>SUM(L51:L69)</f>
        <v>19706728.75</v>
      </c>
      <c r="M70" s="198">
        <v>8008800</v>
      </c>
      <c r="N70" s="192">
        <f>M70-L70</f>
        <v>-11697928.75</v>
      </c>
    </row>
    <row r="71" spans="1:14" s="193" customFormat="1" ht="21.95" customHeight="1">
      <c r="A71" s="283" t="s">
        <v>193</v>
      </c>
      <c r="B71" s="284"/>
      <c r="C71" s="284"/>
      <c r="D71" s="191"/>
      <c r="E71" s="191"/>
      <c r="F71" s="191"/>
      <c r="G71" s="191"/>
      <c r="H71" s="191"/>
      <c r="I71" s="191"/>
      <c r="J71" s="191"/>
      <c r="K71" s="191"/>
      <c r="L71" s="191"/>
      <c r="M71" s="199"/>
      <c r="N71" s="192"/>
    </row>
    <row r="72" spans="1:14" s="16" customFormat="1" ht="21.95" customHeight="1">
      <c r="A72" s="200">
        <v>53</v>
      </c>
      <c r="B72" s="161" t="s">
        <v>202</v>
      </c>
      <c r="C72" s="163">
        <v>17</v>
      </c>
      <c r="D72" s="164">
        <v>1</v>
      </c>
      <c r="E72" s="19">
        <v>0</v>
      </c>
      <c r="F72" s="19">
        <f>SUM(D72:E72)</f>
        <v>1</v>
      </c>
      <c r="G72" s="189">
        <v>1262460</v>
      </c>
      <c r="H72" s="189">
        <f t="shared" ref="H72:H77" si="33">G72*12.5%</f>
        <v>157807.5</v>
      </c>
      <c r="I72" s="189">
        <v>846516</v>
      </c>
      <c r="J72" s="189">
        <f>G72*40%</f>
        <v>504984</v>
      </c>
      <c r="K72" s="189"/>
      <c r="L72" s="189">
        <f t="shared" si="21"/>
        <v>2771767.5</v>
      </c>
    </row>
    <row r="73" spans="1:14" s="16" customFormat="1" ht="21.95" customHeight="1">
      <c r="A73" s="200">
        <v>54</v>
      </c>
      <c r="B73" s="162" t="s">
        <v>26</v>
      </c>
      <c r="C73" s="164">
        <v>14</v>
      </c>
      <c r="D73" s="166">
        <v>1</v>
      </c>
      <c r="E73" s="170">
        <v>0</v>
      </c>
      <c r="F73" s="19">
        <v>1</v>
      </c>
      <c r="G73" s="189">
        <v>470460</v>
      </c>
      <c r="H73" s="189">
        <f t="shared" si="33"/>
        <v>58807.5</v>
      </c>
      <c r="I73" s="189">
        <v>379722</v>
      </c>
      <c r="J73" s="189">
        <f t="shared" ref="J73:J77" si="34">G73*40%</f>
        <v>188184</v>
      </c>
      <c r="K73" s="189"/>
      <c r="L73" s="189">
        <f t="shared" si="21"/>
        <v>1097173.5</v>
      </c>
    </row>
    <row r="74" spans="1:14" s="16" customFormat="1" ht="21.95" customHeight="1">
      <c r="A74" s="200">
        <v>55</v>
      </c>
      <c r="B74" s="162" t="s">
        <v>25</v>
      </c>
      <c r="C74" s="164">
        <v>11</v>
      </c>
      <c r="D74" s="166">
        <v>1</v>
      </c>
      <c r="E74" s="170">
        <v>0</v>
      </c>
      <c r="F74" s="19">
        <f t="shared" ref="F74:F77" si="35">SUM(D74:E74)</f>
        <v>1</v>
      </c>
      <c r="G74" s="189">
        <v>279530</v>
      </c>
      <c r="H74" s="189">
        <f t="shared" si="33"/>
        <v>34941.25</v>
      </c>
      <c r="I74" s="189">
        <v>257682</v>
      </c>
      <c r="J74" s="189">
        <f t="shared" si="34"/>
        <v>111812</v>
      </c>
      <c r="K74" s="189"/>
      <c r="L74" s="189">
        <f t="shared" si="21"/>
        <v>683965.25</v>
      </c>
    </row>
    <row r="75" spans="1:14" s="16" customFormat="1" ht="21.95" customHeight="1">
      <c r="A75" s="200">
        <v>56</v>
      </c>
      <c r="B75" s="162" t="s">
        <v>11</v>
      </c>
      <c r="C75" s="166">
        <v>11</v>
      </c>
      <c r="D75" s="164">
        <v>1</v>
      </c>
      <c r="E75" s="170">
        <v>0</v>
      </c>
      <c r="F75" s="19">
        <f t="shared" si="35"/>
        <v>1</v>
      </c>
      <c r="G75" s="189">
        <v>390170</v>
      </c>
      <c r="H75" s="189">
        <f t="shared" si="33"/>
        <v>48771.25</v>
      </c>
      <c r="I75" s="189">
        <v>326166</v>
      </c>
      <c r="J75" s="189">
        <f t="shared" si="34"/>
        <v>156068</v>
      </c>
      <c r="K75" s="189"/>
      <c r="L75" s="189">
        <f t="shared" si="21"/>
        <v>921175.25</v>
      </c>
    </row>
    <row r="76" spans="1:14" s="16" customFormat="1" ht="21.95" customHeight="1">
      <c r="A76" s="200">
        <v>57</v>
      </c>
      <c r="B76" s="162" t="s">
        <v>184</v>
      </c>
      <c r="C76" s="166">
        <v>5</v>
      </c>
      <c r="D76" s="164">
        <v>1</v>
      </c>
      <c r="E76" s="170">
        <v>0</v>
      </c>
      <c r="F76" s="19">
        <f t="shared" si="35"/>
        <v>1</v>
      </c>
      <c r="G76" s="189">
        <v>449010</v>
      </c>
      <c r="H76" s="189">
        <f t="shared" si="33"/>
        <v>56126.25</v>
      </c>
      <c r="I76" s="189">
        <v>339452</v>
      </c>
      <c r="J76" s="189">
        <f t="shared" si="34"/>
        <v>179604</v>
      </c>
      <c r="K76" s="189"/>
      <c r="L76" s="189">
        <f t="shared" si="21"/>
        <v>1024192.25</v>
      </c>
    </row>
    <row r="77" spans="1:14" s="16" customFormat="1" ht="21.95" customHeight="1">
      <c r="A77" s="200">
        <v>58</v>
      </c>
      <c r="B77" s="162" t="s">
        <v>13</v>
      </c>
      <c r="C77" s="164" t="s">
        <v>192</v>
      </c>
      <c r="D77" s="164">
        <v>1</v>
      </c>
      <c r="E77" s="170">
        <v>0</v>
      </c>
      <c r="F77" s="19">
        <f t="shared" si="35"/>
        <v>1</v>
      </c>
      <c r="G77" s="189">
        <v>245710</v>
      </c>
      <c r="H77" s="189">
        <f t="shared" si="33"/>
        <v>30713.75</v>
      </c>
      <c r="I77" s="189">
        <v>229098</v>
      </c>
      <c r="J77" s="189">
        <f t="shared" si="34"/>
        <v>98284</v>
      </c>
      <c r="K77" s="189"/>
      <c r="L77" s="189">
        <f t="shared" si="21"/>
        <v>603805.75</v>
      </c>
    </row>
    <row r="78" spans="1:14" s="193" customFormat="1" ht="21.95" customHeight="1">
      <c r="A78" s="280" t="s">
        <v>1</v>
      </c>
      <c r="B78" s="281"/>
      <c r="C78" s="282"/>
      <c r="D78" s="191">
        <f>SUM(D72:D77)</f>
        <v>6</v>
      </c>
      <c r="E78" s="191">
        <f t="shared" ref="E78:L78" si="36">SUM(E72:E77)</f>
        <v>0</v>
      </c>
      <c r="F78" s="191">
        <f t="shared" si="36"/>
        <v>6</v>
      </c>
      <c r="G78" s="191">
        <f t="shared" si="36"/>
        <v>3097340</v>
      </c>
      <c r="H78" s="191">
        <f t="shared" si="36"/>
        <v>387167.5</v>
      </c>
      <c r="I78" s="191">
        <f t="shared" si="36"/>
        <v>2378636</v>
      </c>
      <c r="J78" s="191">
        <f t="shared" si="36"/>
        <v>1238936</v>
      </c>
      <c r="K78" s="191">
        <f t="shared" si="36"/>
        <v>0</v>
      </c>
      <c r="L78" s="191">
        <f t="shared" si="36"/>
        <v>7102079.5</v>
      </c>
      <c r="M78" s="198">
        <v>8008800</v>
      </c>
      <c r="N78" s="192">
        <f>M78-L78</f>
        <v>906720.5</v>
      </c>
    </row>
    <row r="79" spans="1:14" s="193" customFormat="1" ht="21.95" customHeight="1">
      <c r="A79" s="285" t="s">
        <v>188</v>
      </c>
      <c r="B79" s="286"/>
      <c r="C79" s="287"/>
      <c r="D79" s="191"/>
      <c r="E79" s="191"/>
      <c r="F79" s="191"/>
      <c r="G79" s="191"/>
      <c r="H79" s="191"/>
      <c r="I79" s="191"/>
      <c r="J79" s="191"/>
      <c r="K79" s="191"/>
      <c r="L79" s="191"/>
      <c r="M79" s="199"/>
      <c r="N79" s="192"/>
    </row>
    <row r="80" spans="1:14" s="16" customFormat="1" ht="30" customHeight="1">
      <c r="A80" s="200">
        <v>59</v>
      </c>
      <c r="B80" s="161" t="s">
        <v>188</v>
      </c>
      <c r="C80" s="163">
        <v>17</v>
      </c>
      <c r="D80" s="164">
        <v>1</v>
      </c>
      <c r="E80" s="19">
        <v>0</v>
      </c>
      <c r="F80" s="19">
        <f>SUM(D80:E80)</f>
        <v>1</v>
      </c>
      <c r="G80" s="189">
        <v>404410</v>
      </c>
      <c r="H80" s="189">
        <f t="shared" ref="H80:H103" si="37">G80*12.5%</f>
        <v>50551.25</v>
      </c>
      <c r="I80" s="189">
        <v>470952</v>
      </c>
      <c r="J80" s="189">
        <f>G80*40%</f>
        <v>161764</v>
      </c>
      <c r="K80" s="189"/>
      <c r="L80" s="189">
        <f t="shared" si="21"/>
        <v>1087677.25</v>
      </c>
    </row>
    <row r="81" spans="1:12" s="16" customFormat="1" ht="21.95" customHeight="1">
      <c r="A81" s="200">
        <v>60</v>
      </c>
      <c r="B81" s="162" t="s">
        <v>189</v>
      </c>
      <c r="C81" s="164">
        <v>15</v>
      </c>
      <c r="D81" s="165">
        <v>1</v>
      </c>
      <c r="E81" s="19">
        <v>0</v>
      </c>
      <c r="F81" s="19">
        <f t="shared" ref="F81:F89" si="38">SUM(D81:E81)</f>
        <v>1</v>
      </c>
      <c r="G81" s="189">
        <v>823585</v>
      </c>
      <c r="H81" s="189">
        <f t="shared" si="37"/>
        <v>102948.125</v>
      </c>
      <c r="I81" s="189">
        <v>570828</v>
      </c>
      <c r="J81" s="189">
        <f t="shared" ref="J81:J103" si="39">G81*40%</f>
        <v>329434</v>
      </c>
      <c r="K81" s="189"/>
      <c r="L81" s="189">
        <f t="shared" si="21"/>
        <v>1826795.125</v>
      </c>
    </row>
    <row r="82" spans="1:12" s="16" customFormat="1" ht="21.95" customHeight="1">
      <c r="A82" s="200">
        <v>61</v>
      </c>
      <c r="B82" s="162" t="s">
        <v>16</v>
      </c>
      <c r="C82" s="164">
        <v>14</v>
      </c>
      <c r="D82" s="165">
        <v>1</v>
      </c>
      <c r="E82" s="19">
        <v>0</v>
      </c>
      <c r="F82" s="19">
        <v>1</v>
      </c>
      <c r="G82" s="189">
        <v>282540</v>
      </c>
      <c r="H82" s="189">
        <f t="shared" si="37"/>
        <v>35317.5</v>
      </c>
      <c r="I82" s="189">
        <v>408258</v>
      </c>
      <c r="J82" s="189">
        <f t="shared" si="39"/>
        <v>113016</v>
      </c>
      <c r="K82" s="189"/>
      <c r="L82" s="189">
        <f t="shared" si="21"/>
        <v>839131.5</v>
      </c>
    </row>
    <row r="83" spans="1:12" s="16" customFormat="1" ht="21.95" customHeight="1">
      <c r="A83" s="200">
        <v>62</v>
      </c>
      <c r="B83" s="162" t="s">
        <v>185</v>
      </c>
      <c r="C83" s="167">
        <v>14</v>
      </c>
      <c r="D83" s="174">
        <v>1</v>
      </c>
      <c r="E83" s="19">
        <v>0</v>
      </c>
      <c r="F83" s="19">
        <f>SUM(D83:E83)</f>
        <v>1</v>
      </c>
      <c r="G83" s="189">
        <v>609770</v>
      </c>
      <c r="H83" s="189">
        <f t="shared" si="37"/>
        <v>76221.25</v>
      </c>
      <c r="I83" s="189">
        <v>440538</v>
      </c>
      <c r="J83" s="189">
        <f t="shared" si="39"/>
        <v>243908</v>
      </c>
      <c r="K83" s="189"/>
      <c r="L83" s="189">
        <f t="shared" si="21"/>
        <v>1370437.25</v>
      </c>
    </row>
    <row r="84" spans="1:12" s="16" customFormat="1" ht="21.95" customHeight="1">
      <c r="A84" s="200">
        <v>63</v>
      </c>
      <c r="B84" s="162" t="s">
        <v>99</v>
      </c>
      <c r="C84" s="165">
        <v>12</v>
      </c>
      <c r="D84" s="165">
        <v>1</v>
      </c>
      <c r="E84" s="19">
        <v>0</v>
      </c>
      <c r="F84" s="19">
        <f t="shared" si="38"/>
        <v>1</v>
      </c>
      <c r="G84" s="189">
        <v>470330</v>
      </c>
      <c r="H84" s="189">
        <f t="shared" si="37"/>
        <v>58791.25</v>
      </c>
      <c r="I84" s="189">
        <v>370038</v>
      </c>
      <c r="J84" s="189">
        <f t="shared" si="39"/>
        <v>188132</v>
      </c>
      <c r="K84" s="189"/>
      <c r="L84" s="189">
        <f t="shared" si="21"/>
        <v>1087291.25</v>
      </c>
    </row>
    <row r="85" spans="1:12" s="16" customFormat="1" ht="29.25" customHeight="1">
      <c r="A85" s="200">
        <v>64</v>
      </c>
      <c r="B85" s="162" t="s">
        <v>203</v>
      </c>
      <c r="C85" s="165">
        <v>12</v>
      </c>
      <c r="D85" s="165">
        <v>1</v>
      </c>
      <c r="E85" s="19">
        <v>0</v>
      </c>
      <c r="F85" s="19">
        <v>1</v>
      </c>
      <c r="G85" s="189">
        <v>247250</v>
      </c>
      <c r="H85" s="189">
        <f t="shared" si="37"/>
        <v>30906.25</v>
      </c>
      <c r="I85" s="189">
        <v>269970</v>
      </c>
      <c r="J85" s="189">
        <f t="shared" si="39"/>
        <v>98900</v>
      </c>
      <c r="K85" s="189"/>
      <c r="L85" s="189">
        <f t="shared" si="21"/>
        <v>647026.25</v>
      </c>
    </row>
    <row r="86" spans="1:12" s="16" customFormat="1" ht="36.75" customHeight="1">
      <c r="A86" s="200">
        <v>65</v>
      </c>
      <c r="B86" s="162" t="s">
        <v>232</v>
      </c>
      <c r="C86" s="167">
        <v>11</v>
      </c>
      <c r="D86" s="165">
        <v>1</v>
      </c>
      <c r="E86" s="19">
        <v>0</v>
      </c>
      <c r="F86" s="19">
        <f t="shared" si="38"/>
        <v>1</v>
      </c>
      <c r="G86" s="189">
        <v>232970</v>
      </c>
      <c r="H86" s="189">
        <f t="shared" si="37"/>
        <v>29121.25</v>
      </c>
      <c r="I86" s="189"/>
      <c r="J86" s="189">
        <f t="shared" si="39"/>
        <v>93188</v>
      </c>
      <c r="K86" s="189"/>
      <c r="L86" s="189">
        <f t="shared" si="21"/>
        <v>355279.25</v>
      </c>
    </row>
    <row r="87" spans="1:12" s="16" customFormat="1" ht="36.75" customHeight="1">
      <c r="A87" s="200">
        <v>66</v>
      </c>
      <c r="B87" s="162" t="s">
        <v>232</v>
      </c>
      <c r="C87" s="167">
        <v>11</v>
      </c>
      <c r="D87" s="165">
        <v>1</v>
      </c>
      <c r="E87" s="19">
        <v>0</v>
      </c>
      <c r="F87" s="19">
        <f t="shared" ref="F87" si="40">SUM(D87:E87)</f>
        <v>1</v>
      </c>
      <c r="G87" s="189">
        <v>232970</v>
      </c>
      <c r="H87" s="189">
        <f t="shared" si="37"/>
        <v>29121.25</v>
      </c>
      <c r="I87" s="189"/>
      <c r="J87" s="189">
        <f t="shared" ref="J87" si="41">G87*40%</f>
        <v>93188</v>
      </c>
      <c r="K87" s="189"/>
      <c r="L87" s="189">
        <f t="shared" ref="L87" si="42">SUM(G87:K87)</f>
        <v>355279.25</v>
      </c>
    </row>
    <row r="88" spans="1:12" s="16" customFormat="1" ht="36.75" customHeight="1">
      <c r="A88" s="200">
        <v>67</v>
      </c>
      <c r="B88" s="162" t="s">
        <v>234</v>
      </c>
      <c r="C88" s="165">
        <v>11</v>
      </c>
      <c r="D88" s="164">
        <v>1</v>
      </c>
      <c r="E88" s="19">
        <v>0</v>
      </c>
      <c r="F88" s="19">
        <f t="shared" si="38"/>
        <v>1</v>
      </c>
      <c r="G88" s="189">
        <v>385620</v>
      </c>
      <c r="H88" s="189">
        <f t="shared" si="37"/>
        <v>48202.5</v>
      </c>
      <c r="I88" s="189">
        <v>326166</v>
      </c>
      <c r="J88" s="189">
        <f t="shared" ref="J88" si="43">G88*40%</f>
        <v>154248</v>
      </c>
      <c r="K88" s="189"/>
      <c r="L88" s="189">
        <f t="shared" ref="L88" si="44">SUM(G88:K88)</f>
        <v>914236.5</v>
      </c>
    </row>
    <row r="89" spans="1:12" s="16" customFormat="1" ht="29.25" customHeight="1">
      <c r="A89" s="200">
        <v>68</v>
      </c>
      <c r="B89" s="162" t="s">
        <v>233</v>
      </c>
      <c r="C89" s="165">
        <v>11</v>
      </c>
      <c r="D89" s="164">
        <v>1</v>
      </c>
      <c r="E89" s="19">
        <v>0</v>
      </c>
      <c r="F89" s="19">
        <f t="shared" si="38"/>
        <v>1</v>
      </c>
      <c r="G89" s="189">
        <v>385620</v>
      </c>
      <c r="H89" s="189">
        <f t="shared" si="37"/>
        <v>48202.5</v>
      </c>
      <c r="I89" s="189">
        <v>326166</v>
      </c>
      <c r="J89" s="189">
        <f t="shared" si="39"/>
        <v>154248</v>
      </c>
      <c r="K89" s="189"/>
      <c r="L89" s="189">
        <f t="shared" si="21"/>
        <v>914236.5</v>
      </c>
    </row>
    <row r="90" spans="1:12" s="16" customFormat="1" ht="21.95" customHeight="1">
      <c r="A90" s="200">
        <v>69</v>
      </c>
      <c r="B90" s="162" t="s">
        <v>145</v>
      </c>
      <c r="C90" s="164">
        <v>11</v>
      </c>
      <c r="D90" s="164">
        <v>1</v>
      </c>
      <c r="E90" s="20">
        <v>0</v>
      </c>
      <c r="F90" s="20">
        <f>SUM(D90:E90)</f>
        <v>1</v>
      </c>
      <c r="G90" s="189">
        <v>307020</v>
      </c>
      <c r="H90" s="189">
        <f t="shared" si="37"/>
        <v>38377.5</v>
      </c>
      <c r="I90" s="189">
        <v>275976</v>
      </c>
      <c r="J90" s="189">
        <f t="shared" si="39"/>
        <v>122808</v>
      </c>
      <c r="K90" s="189"/>
      <c r="L90" s="189">
        <f t="shared" si="21"/>
        <v>744181.5</v>
      </c>
    </row>
    <row r="91" spans="1:12" s="16" customFormat="1" ht="21.95" customHeight="1">
      <c r="A91" s="200">
        <v>70</v>
      </c>
      <c r="B91" s="162" t="s">
        <v>190</v>
      </c>
      <c r="C91" s="164">
        <v>4</v>
      </c>
      <c r="D91" s="164">
        <v>0</v>
      </c>
      <c r="E91" s="19">
        <v>1</v>
      </c>
      <c r="F91" s="19">
        <f>SUM(D91:E91)</f>
        <v>1</v>
      </c>
      <c r="G91" s="189">
        <v>370980</v>
      </c>
      <c r="H91" s="189">
        <f t="shared" si="37"/>
        <v>46372.5</v>
      </c>
      <c r="I91" s="189">
        <v>265494</v>
      </c>
      <c r="J91" s="189">
        <f t="shared" si="39"/>
        <v>148392</v>
      </c>
      <c r="K91" s="189"/>
      <c r="L91" s="189">
        <f t="shared" si="21"/>
        <v>831238.5</v>
      </c>
    </row>
    <row r="92" spans="1:12" s="16" customFormat="1" ht="21.95" customHeight="1">
      <c r="A92" s="200">
        <v>71</v>
      </c>
      <c r="B92" s="162" t="s">
        <v>184</v>
      </c>
      <c r="C92" s="164">
        <v>4</v>
      </c>
      <c r="D92" s="164">
        <v>1</v>
      </c>
      <c r="E92" s="19">
        <v>0</v>
      </c>
      <c r="F92" s="19">
        <f>SUM(D92:E92)</f>
        <v>1</v>
      </c>
      <c r="G92" s="189">
        <v>369370</v>
      </c>
      <c r="H92" s="189">
        <f t="shared" si="37"/>
        <v>46171.25</v>
      </c>
      <c r="I92" s="189">
        <v>297714</v>
      </c>
      <c r="J92" s="189">
        <f t="shared" si="39"/>
        <v>147748</v>
      </c>
      <c r="K92" s="189"/>
      <c r="L92" s="189">
        <f t="shared" si="21"/>
        <v>861003.25</v>
      </c>
    </row>
    <row r="93" spans="1:12" s="16" customFormat="1" ht="21.95" customHeight="1">
      <c r="A93" s="200">
        <v>72</v>
      </c>
      <c r="B93" s="162" t="s">
        <v>12</v>
      </c>
      <c r="C93" s="164">
        <v>4</v>
      </c>
      <c r="D93" s="164">
        <v>1</v>
      </c>
      <c r="E93" s="19">
        <v>0</v>
      </c>
      <c r="F93" s="19">
        <f>SUM(D93:E93)</f>
        <v>1</v>
      </c>
      <c r="G93" s="189">
        <v>210970</v>
      </c>
      <c r="H93" s="189">
        <f t="shared" si="37"/>
        <v>26371.25</v>
      </c>
      <c r="I93" s="189">
        <v>252594</v>
      </c>
      <c r="J93" s="189">
        <f t="shared" si="39"/>
        <v>84388</v>
      </c>
      <c r="K93" s="189"/>
      <c r="L93" s="189">
        <f t="shared" si="21"/>
        <v>574323.25</v>
      </c>
    </row>
    <row r="94" spans="1:12" s="16" customFormat="1" ht="21.95" customHeight="1">
      <c r="A94" s="200">
        <v>73</v>
      </c>
      <c r="B94" s="162" t="s">
        <v>235</v>
      </c>
      <c r="C94" s="164">
        <v>4</v>
      </c>
      <c r="D94" s="164">
        <v>1</v>
      </c>
      <c r="E94" s="19">
        <v>0</v>
      </c>
      <c r="F94" s="19">
        <f>SUM(D94:E94)</f>
        <v>1</v>
      </c>
      <c r="G94" s="189">
        <v>353530</v>
      </c>
      <c r="H94" s="189">
        <f t="shared" si="37"/>
        <v>44191.25</v>
      </c>
      <c r="I94" s="189">
        <v>278202</v>
      </c>
      <c r="J94" s="189">
        <f t="shared" si="39"/>
        <v>141412</v>
      </c>
      <c r="K94" s="189"/>
      <c r="L94" s="189">
        <f t="shared" si="21"/>
        <v>817335.25</v>
      </c>
    </row>
    <row r="95" spans="1:12" s="16" customFormat="1" ht="21.95" customHeight="1">
      <c r="A95" s="200">
        <v>74</v>
      </c>
      <c r="B95" s="162" t="s">
        <v>236</v>
      </c>
      <c r="C95" s="164">
        <v>1</v>
      </c>
      <c r="D95" s="164">
        <v>1</v>
      </c>
      <c r="E95" s="19">
        <v>0</v>
      </c>
      <c r="F95" s="19">
        <f t="shared" ref="F95:F103" si="45">SUM(D95:E95)</f>
        <v>1</v>
      </c>
      <c r="G95" s="189">
        <v>186250</v>
      </c>
      <c r="H95" s="189">
        <f t="shared" si="37"/>
        <v>23281.25</v>
      </c>
      <c r="I95" s="189">
        <v>217770</v>
      </c>
      <c r="J95" s="189">
        <f t="shared" si="39"/>
        <v>74500</v>
      </c>
      <c r="K95" s="189"/>
      <c r="L95" s="189">
        <f t="shared" si="21"/>
        <v>501801.25</v>
      </c>
    </row>
    <row r="96" spans="1:12" s="16" customFormat="1" ht="21.95" customHeight="1">
      <c r="A96" s="200">
        <v>75</v>
      </c>
      <c r="B96" s="162" t="s">
        <v>236</v>
      </c>
      <c r="C96" s="164">
        <v>1</v>
      </c>
      <c r="D96" s="164">
        <v>1</v>
      </c>
      <c r="E96" s="19">
        <v>0</v>
      </c>
      <c r="F96" s="19">
        <f t="shared" ref="F96" si="46">SUM(D96:E96)</f>
        <v>1</v>
      </c>
      <c r="G96" s="189">
        <v>206890</v>
      </c>
      <c r="H96" s="189">
        <f t="shared" si="37"/>
        <v>25861.25</v>
      </c>
      <c r="I96" s="189">
        <v>207330</v>
      </c>
      <c r="J96" s="189">
        <f t="shared" ref="J96" si="47">G96*40%</f>
        <v>82756</v>
      </c>
      <c r="K96" s="189"/>
      <c r="L96" s="189">
        <f t="shared" ref="L96" si="48">SUM(G96:K96)</f>
        <v>522837.25</v>
      </c>
    </row>
    <row r="97" spans="1:13" s="16" customFormat="1" ht="21.95" customHeight="1">
      <c r="A97" s="200">
        <v>76</v>
      </c>
      <c r="B97" s="162" t="s">
        <v>237</v>
      </c>
      <c r="C97" s="164">
        <v>1</v>
      </c>
      <c r="D97" s="164">
        <v>1</v>
      </c>
      <c r="E97" s="20">
        <v>0</v>
      </c>
      <c r="F97" s="20">
        <f>SUM(D97:E97)</f>
        <v>1</v>
      </c>
      <c r="G97" s="189">
        <v>206890</v>
      </c>
      <c r="H97" s="189">
        <f t="shared" si="37"/>
        <v>25861.25</v>
      </c>
      <c r="I97" s="189">
        <v>194370</v>
      </c>
      <c r="J97" s="189">
        <f t="shared" si="39"/>
        <v>82756</v>
      </c>
      <c r="K97" s="189"/>
      <c r="L97" s="189">
        <f t="shared" si="21"/>
        <v>509877.25</v>
      </c>
    </row>
    <row r="98" spans="1:13" s="16" customFormat="1" ht="21.95" customHeight="1">
      <c r="A98" s="200">
        <v>77</v>
      </c>
      <c r="B98" s="162" t="s">
        <v>146</v>
      </c>
      <c r="C98" s="164">
        <v>1</v>
      </c>
      <c r="D98" s="164">
        <v>1</v>
      </c>
      <c r="E98" s="20">
        <v>0</v>
      </c>
      <c r="F98" s="20">
        <f>SUM(D98:E98)</f>
        <v>1</v>
      </c>
      <c r="G98" s="189">
        <v>181090</v>
      </c>
      <c r="H98" s="189">
        <f t="shared" si="37"/>
        <v>22636.25</v>
      </c>
      <c r="I98" s="189">
        <v>190932</v>
      </c>
      <c r="J98" s="189">
        <f t="shared" si="39"/>
        <v>72436</v>
      </c>
      <c r="K98" s="189"/>
      <c r="L98" s="189">
        <f t="shared" si="21"/>
        <v>467094.25</v>
      </c>
    </row>
    <row r="99" spans="1:13" s="16" customFormat="1" ht="21.95" customHeight="1">
      <c r="A99" s="200">
        <v>78</v>
      </c>
      <c r="B99" s="162" t="s">
        <v>206</v>
      </c>
      <c r="C99" s="164">
        <v>1</v>
      </c>
      <c r="D99" s="164">
        <v>1</v>
      </c>
      <c r="E99" s="19">
        <v>0</v>
      </c>
      <c r="F99" s="19">
        <f t="shared" ref="F99:F102" si="49">SUM(D99:E99)</f>
        <v>1</v>
      </c>
      <c r="G99" s="189">
        <v>165610</v>
      </c>
      <c r="H99" s="189">
        <f t="shared" si="37"/>
        <v>20701.25</v>
      </c>
      <c r="I99" s="189">
        <v>188538</v>
      </c>
      <c r="J99" s="189">
        <f t="shared" ref="J99:J102" si="50">G99*40%</f>
        <v>66244</v>
      </c>
      <c r="K99" s="189"/>
      <c r="L99" s="189">
        <f t="shared" ref="L99:L102" si="51">SUM(G99:K99)</f>
        <v>441093.25</v>
      </c>
    </row>
    <row r="100" spans="1:13" s="16" customFormat="1" ht="21.95" customHeight="1">
      <c r="A100" s="200">
        <v>79</v>
      </c>
      <c r="B100" s="162" t="s">
        <v>206</v>
      </c>
      <c r="C100" s="164">
        <v>1</v>
      </c>
      <c r="D100" s="164">
        <v>1</v>
      </c>
      <c r="E100" s="19">
        <v>0</v>
      </c>
      <c r="F100" s="19">
        <f t="shared" si="49"/>
        <v>1</v>
      </c>
      <c r="G100" s="189">
        <v>165610</v>
      </c>
      <c r="H100" s="189">
        <f t="shared" si="37"/>
        <v>20701.25</v>
      </c>
      <c r="I100" s="189">
        <v>188538</v>
      </c>
      <c r="J100" s="189">
        <f t="shared" si="50"/>
        <v>66244</v>
      </c>
      <c r="K100" s="189"/>
      <c r="L100" s="189">
        <f t="shared" si="51"/>
        <v>441093.25</v>
      </c>
    </row>
    <row r="101" spans="1:13" s="16" customFormat="1" ht="21.95" customHeight="1">
      <c r="A101" s="200">
        <v>80</v>
      </c>
      <c r="B101" s="162" t="s">
        <v>206</v>
      </c>
      <c r="C101" s="164">
        <v>1</v>
      </c>
      <c r="D101" s="164">
        <v>1</v>
      </c>
      <c r="E101" s="19">
        <v>0</v>
      </c>
      <c r="F101" s="19">
        <f t="shared" si="49"/>
        <v>1</v>
      </c>
      <c r="G101" s="189">
        <v>165610</v>
      </c>
      <c r="H101" s="189">
        <f t="shared" si="37"/>
        <v>20701.25</v>
      </c>
      <c r="I101" s="189">
        <v>188538</v>
      </c>
      <c r="J101" s="189">
        <f t="shared" si="50"/>
        <v>66244</v>
      </c>
      <c r="K101" s="189"/>
      <c r="L101" s="189">
        <f t="shared" si="51"/>
        <v>441093.25</v>
      </c>
    </row>
    <row r="102" spans="1:13" s="16" customFormat="1" ht="21.95" customHeight="1">
      <c r="A102" s="200">
        <v>81</v>
      </c>
      <c r="B102" s="162" t="s">
        <v>206</v>
      </c>
      <c r="C102" s="164">
        <v>1</v>
      </c>
      <c r="D102" s="164">
        <v>1</v>
      </c>
      <c r="E102" s="19">
        <v>0</v>
      </c>
      <c r="F102" s="19">
        <f t="shared" si="49"/>
        <v>1</v>
      </c>
      <c r="G102" s="189">
        <v>165610</v>
      </c>
      <c r="H102" s="189">
        <f t="shared" si="37"/>
        <v>20701.25</v>
      </c>
      <c r="I102" s="189">
        <v>131628</v>
      </c>
      <c r="J102" s="189">
        <f t="shared" si="50"/>
        <v>66244</v>
      </c>
      <c r="K102" s="189"/>
      <c r="L102" s="189">
        <f t="shared" si="51"/>
        <v>384183.25</v>
      </c>
    </row>
    <row r="103" spans="1:13" s="16" customFormat="1" ht="21.95" customHeight="1">
      <c r="A103" s="200">
        <v>82</v>
      </c>
      <c r="B103" s="162" t="s">
        <v>206</v>
      </c>
      <c r="C103" s="164">
        <v>1</v>
      </c>
      <c r="D103" s="164">
        <v>1</v>
      </c>
      <c r="E103" s="19">
        <v>0</v>
      </c>
      <c r="F103" s="19">
        <f t="shared" si="45"/>
        <v>1</v>
      </c>
      <c r="G103" s="189">
        <v>165610</v>
      </c>
      <c r="H103" s="189">
        <f t="shared" si="37"/>
        <v>20701.25</v>
      </c>
      <c r="I103" s="189">
        <v>188538</v>
      </c>
      <c r="J103" s="189">
        <f t="shared" si="39"/>
        <v>66244</v>
      </c>
      <c r="K103" s="189">
        <f>4065*12</f>
        <v>48780</v>
      </c>
      <c r="L103" s="189">
        <f t="shared" si="21"/>
        <v>489873.25</v>
      </c>
    </row>
    <row r="104" spans="1:13" s="193" customFormat="1" ht="21.95" customHeight="1">
      <c r="A104" s="280" t="s">
        <v>1</v>
      </c>
      <c r="B104" s="281"/>
      <c r="C104" s="282"/>
      <c r="D104" s="191">
        <f t="shared" ref="D104:L104" si="52">SUM(D80:D103)</f>
        <v>23</v>
      </c>
      <c r="E104" s="191">
        <f t="shared" si="52"/>
        <v>1</v>
      </c>
      <c r="F104" s="191">
        <f t="shared" si="52"/>
        <v>24</v>
      </c>
      <c r="G104" s="191">
        <f t="shared" si="52"/>
        <v>7296105</v>
      </c>
      <c r="H104" s="191">
        <f t="shared" si="52"/>
        <v>912013.125</v>
      </c>
      <c r="I104" s="191">
        <f t="shared" si="52"/>
        <v>6249078</v>
      </c>
      <c r="J104" s="191">
        <f t="shared" si="52"/>
        <v>2918442</v>
      </c>
      <c r="K104" s="191">
        <f t="shared" si="52"/>
        <v>48780</v>
      </c>
      <c r="L104" s="191">
        <f t="shared" si="52"/>
        <v>17424418.125</v>
      </c>
      <c r="M104" s="192">
        <f>L104-9736100</f>
        <v>7688318.125</v>
      </c>
    </row>
    <row r="105" spans="1:13" s="193" customFormat="1" ht="21.95" customHeight="1">
      <c r="A105" s="288" t="s">
        <v>126</v>
      </c>
      <c r="B105" s="289"/>
      <c r="C105" s="289"/>
      <c r="D105" s="191"/>
      <c r="E105" s="191"/>
      <c r="F105" s="191"/>
      <c r="G105" s="191"/>
      <c r="H105" s="191"/>
      <c r="I105" s="191"/>
      <c r="J105" s="191"/>
      <c r="K105" s="191"/>
      <c r="L105" s="191"/>
      <c r="M105" s="192"/>
    </row>
    <row r="106" spans="1:13" s="16" customFormat="1" ht="21.95" customHeight="1">
      <c r="A106" s="201">
        <v>83</v>
      </c>
      <c r="B106" s="161" t="s">
        <v>194</v>
      </c>
      <c r="C106" s="163">
        <v>17</v>
      </c>
      <c r="D106" s="164">
        <v>1</v>
      </c>
      <c r="E106" s="20">
        <v>0</v>
      </c>
      <c r="F106" s="20">
        <f>SUM(D106:E106)</f>
        <v>1</v>
      </c>
      <c r="G106" s="189">
        <v>646860</v>
      </c>
      <c r="H106" s="189">
        <f t="shared" ref="H106:H170" si="53">G106*12.5%</f>
        <v>80857.5</v>
      </c>
      <c r="I106" s="189">
        <v>1035840</v>
      </c>
      <c r="J106" s="189">
        <f>G106*40%</f>
        <v>258744</v>
      </c>
      <c r="K106" s="189">
        <f>13521*12</f>
        <v>162252</v>
      </c>
      <c r="L106" s="189">
        <f t="shared" si="21"/>
        <v>2184553.5</v>
      </c>
    </row>
    <row r="107" spans="1:13" s="16" customFormat="1" ht="21.95" customHeight="1">
      <c r="A107" s="201">
        <v>84</v>
      </c>
      <c r="B107" s="161" t="s">
        <v>95</v>
      </c>
      <c r="C107" s="163">
        <v>16</v>
      </c>
      <c r="D107" s="164">
        <v>1</v>
      </c>
      <c r="E107" s="20">
        <v>0</v>
      </c>
      <c r="F107" s="20">
        <v>1</v>
      </c>
      <c r="G107" s="189">
        <v>352660</v>
      </c>
      <c r="H107" s="189">
        <f t="shared" si="53"/>
        <v>44082.5</v>
      </c>
      <c r="I107" s="189">
        <v>386406</v>
      </c>
      <c r="J107" s="189">
        <f t="shared" ref="J107:J214" si="54">G107*40%</f>
        <v>141064</v>
      </c>
      <c r="K107" s="189"/>
      <c r="L107" s="189">
        <f t="shared" si="21"/>
        <v>924212.5</v>
      </c>
    </row>
    <row r="108" spans="1:13" s="16" customFormat="1" ht="28.5" customHeight="1">
      <c r="A108" s="201">
        <v>85</v>
      </c>
      <c r="B108" s="162" t="s">
        <v>195</v>
      </c>
      <c r="C108" s="164">
        <v>16</v>
      </c>
      <c r="D108" s="164">
        <v>1</v>
      </c>
      <c r="E108" s="20">
        <v>0</v>
      </c>
      <c r="F108" s="20">
        <f t="shared" ref="F108:F166" si="55">SUM(D108:E108)</f>
        <v>1</v>
      </c>
      <c r="G108" s="189">
        <v>352660</v>
      </c>
      <c r="H108" s="189">
        <f t="shared" si="53"/>
        <v>44082.5</v>
      </c>
      <c r="I108" s="189">
        <v>386406</v>
      </c>
      <c r="J108" s="189">
        <f t="shared" si="54"/>
        <v>141064</v>
      </c>
      <c r="K108" s="189"/>
      <c r="L108" s="189">
        <f t="shared" si="21"/>
        <v>924212.5</v>
      </c>
    </row>
    <row r="109" spans="1:13" s="16" customFormat="1" ht="28.5" customHeight="1">
      <c r="A109" s="201">
        <v>86</v>
      </c>
      <c r="B109" s="162" t="s">
        <v>195</v>
      </c>
      <c r="C109" s="164">
        <v>16</v>
      </c>
      <c r="D109" s="164">
        <v>1</v>
      </c>
      <c r="E109" s="20">
        <v>0</v>
      </c>
      <c r="F109" s="20">
        <f t="shared" ref="F109" si="56">SUM(D109:E109)</f>
        <v>1</v>
      </c>
      <c r="G109" s="189">
        <v>352660</v>
      </c>
      <c r="H109" s="189">
        <f t="shared" si="53"/>
        <v>44082.5</v>
      </c>
      <c r="I109" s="189">
        <v>386406</v>
      </c>
      <c r="J109" s="189">
        <f t="shared" ref="J109" si="57">G109*40%</f>
        <v>141064</v>
      </c>
      <c r="K109" s="189"/>
      <c r="L109" s="189">
        <f t="shared" ref="L109" si="58">SUM(G109:K109)</f>
        <v>924212.5</v>
      </c>
    </row>
    <row r="110" spans="1:13" s="16" customFormat="1" ht="26.25" customHeight="1">
      <c r="A110" s="201">
        <v>87</v>
      </c>
      <c r="B110" s="162" t="s">
        <v>27</v>
      </c>
      <c r="C110" s="164">
        <v>13</v>
      </c>
      <c r="D110" s="164">
        <v>1</v>
      </c>
      <c r="E110" s="20">
        <v>0</v>
      </c>
      <c r="F110" s="20">
        <f t="shared" si="55"/>
        <v>1</v>
      </c>
      <c r="G110" s="189">
        <v>281280</v>
      </c>
      <c r="H110" s="189">
        <f t="shared" si="53"/>
        <v>35160</v>
      </c>
      <c r="I110" s="189">
        <v>285620</v>
      </c>
      <c r="J110" s="189">
        <f t="shared" si="54"/>
        <v>112512</v>
      </c>
      <c r="K110" s="189"/>
      <c r="L110" s="189">
        <f t="shared" si="21"/>
        <v>714572</v>
      </c>
    </row>
    <row r="111" spans="1:13" s="16" customFormat="1" ht="21.95" customHeight="1">
      <c r="A111" s="201">
        <v>88</v>
      </c>
      <c r="B111" s="162" t="s">
        <v>189</v>
      </c>
      <c r="C111" s="164">
        <v>15</v>
      </c>
      <c r="D111" s="164">
        <v>1</v>
      </c>
      <c r="E111" s="20">
        <v>0</v>
      </c>
      <c r="F111" s="20">
        <f t="shared" si="55"/>
        <v>1</v>
      </c>
      <c r="G111" s="189">
        <v>752305</v>
      </c>
      <c r="H111" s="189">
        <f t="shared" si="53"/>
        <v>94038.125</v>
      </c>
      <c r="I111" s="189">
        <v>531504</v>
      </c>
      <c r="J111" s="189">
        <f t="shared" si="54"/>
        <v>300922</v>
      </c>
      <c r="K111" s="189"/>
      <c r="L111" s="189">
        <f t="shared" si="21"/>
        <v>1678769.125</v>
      </c>
    </row>
    <row r="112" spans="1:13" s="16" customFormat="1" ht="21.95" customHeight="1">
      <c r="A112" s="201">
        <v>89</v>
      </c>
      <c r="B112" s="162" t="s">
        <v>238</v>
      </c>
      <c r="C112" s="164">
        <v>15</v>
      </c>
      <c r="D112" s="164">
        <v>1</v>
      </c>
      <c r="E112" s="20">
        <v>0</v>
      </c>
      <c r="F112" s="20">
        <f t="shared" si="55"/>
        <v>1</v>
      </c>
      <c r="G112" s="189">
        <v>845700</v>
      </c>
      <c r="H112" s="189">
        <f t="shared" si="53"/>
        <v>105712.5</v>
      </c>
      <c r="I112" s="189">
        <v>583920</v>
      </c>
      <c r="J112" s="189">
        <f t="shared" si="54"/>
        <v>338280</v>
      </c>
      <c r="K112" s="189"/>
      <c r="L112" s="189">
        <f t="shared" si="21"/>
        <v>1873612.5</v>
      </c>
    </row>
    <row r="113" spans="1:12" s="16" customFormat="1" ht="21.95" customHeight="1">
      <c r="A113" s="201">
        <v>90</v>
      </c>
      <c r="B113" s="162" t="s">
        <v>151</v>
      </c>
      <c r="C113" s="164">
        <v>14</v>
      </c>
      <c r="D113" s="164">
        <v>1</v>
      </c>
      <c r="E113" s="20">
        <v>0</v>
      </c>
      <c r="F113" s="20">
        <v>1</v>
      </c>
      <c r="G113" s="189">
        <v>284185</v>
      </c>
      <c r="H113" s="189">
        <f t="shared" si="53"/>
        <v>35523.125</v>
      </c>
      <c r="I113" s="189">
        <v>300126</v>
      </c>
      <c r="J113" s="189">
        <f t="shared" si="54"/>
        <v>113674</v>
      </c>
      <c r="K113" s="189"/>
      <c r="L113" s="189">
        <f t="shared" si="21"/>
        <v>733508.125</v>
      </c>
    </row>
    <row r="114" spans="1:12" s="16" customFormat="1" ht="21.95" customHeight="1">
      <c r="A114" s="201">
        <v>91</v>
      </c>
      <c r="B114" s="162" t="s">
        <v>16</v>
      </c>
      <c r="C114" s="164">
        <v>14</v>
      </c>
      <c r="D114" s="164">
        <v>1</v>
      </c>
      <c r="E114" s="20">
        <v>0</v>
      </c>
      <c r="F114" s="20">
        <v>1</v>
      </c>
      <c r="G114" s="189">
        <v>282540</v>
      </c>
      <c r="H114" s="189">
        <f t="shared" si="53"/>
        <v>35317.5</v>
      </c>
      <c r="I114" s="189">
        <v>386814</v>
      </c>
      <c r="J114" s="189">
        <f t="shared" si="54"/>
        <v>113016</v>
      </c>
      <c r="K114" s="189"/>
      <c r="L114" s="189">
        <f t="shared" si="21"/>
        <v>817687.5</v>
      </c>
    </row>
    <row r="115" spans="1:12" s="16" customFormat="1" ht="21.95" customHeight="1">
      <c r="A115" s="201">
        <v>92</v>
      </c>
      <c r="B115" s="162" t="s">
        <v>185</v>
      </c>
      <c r="C115" s="165">
        <v>14</v>
      </c>
      <c r="D115" s="164">
        <v>1</v>
      </c>
      <c r="E115" s="20">
        <v>0</v>
      </c>
      <c r="F115" s="20">
        <f>SUM(D115:E115)</f>
        <v>1</v>
      </c>
      <c r="G115" s="189">
        <v>762780</v>
      </c>
      <c r="H115" s="189">
        <f t="shared" si="53"/>
        <v>95347.5</v>
      </c>
      <c r="I115" s="189">
        <v>534402</v>
      </c>
      <c r="J115" s="189">
        <f t="shared" si="54"/>
        <v>305112</v>
      </c>
      <c r="K115" s="189"/>
      <c r="L115" s="189">
        <f t="shared" si="21"/>
        <v>1697641.5</v>
      </c>
    </row>
    <row r="116" spans="1:12" s="16" customFormat="1" ht="21.95" customHeight="1">
      <c r="A116" s="201">
        <v>93</v>
      </c>
      <c r="B116" s="162" t="s">
        <v>102</v>
      </c>
      <c r="C116" s="164" t="s">
        <v>187</v>
      </c>
      <c r="D116" s="164">
        <v>1</v>
      </c>
      <c r="E116" s="20">
        <v>0</v>
      </c>
      <c r="F116" s="20">
        <f>SUM(D116:E116)</f>
        <v>1</v>
      </c>
      <c r="G116" s="189">
        <v>700140</v>
      </c>
      <c r="H116" s="189">
        <f t="shared" si="53"/>
        <v>87517.5</v>
      </c>
      <c r="I116" s="189">
        <v>499854</v>
      </c>
      <c r="J116" s="189">
        <f t="shared" si="54"/>
        <v>280056</v>
      </c>
      <c r="K116" s="189"/>
      <c r="L116" s="189">
        <f t="shared" si="21"/>
        <v>1567567.5</v>
      </c>
    </row>
    <row r="117" spans="1:12" s="16" customFormat="1" ht="21.95" customHeight="1">
      <c r="A117" s="201">
        <v>94</v>
      </c>
      <c r="B117" s="162" t="s">
        <v>196</v>
      </c>
      <c r="C117" s="164">
        <v>14</v>
      </c>
      <c r="D117" s="164">
        <v>1</v>
      </c>
      <c r="E117" s="20">
        <v>0</v>
      </c>
      <c r="F117" s="20">
        <f>SUM(D117:E117)</f>
        <v>1</v>
      </c>
      <c r="G117" s="189">
        <v>470460</v>
      </c>
      <c r="H117" s="189">
        <f t="shared" si="53"/>
        <v>58807.5</v>
      </c>
      <c r="I117" s="189">
        <v>379722</v>
      </c>
      <c r="J117" s="189">
        <f t="shared" si="54"/>
        <v>188184</v>
      </c>
      <c r="K117" s="189"/>
      <c r="L117" s="189">
        <f t="shared" si="21"/>
        <v>1097173.5</v>
      </c>
    </row>
    <row r="118" spans="1:12" s="16" customFormat="1" ht="21.95" customHeight="1">
      <c r="A118" s="201">
        <v>95</v>
      </c>
      <c r="B118" s="162" t="s">
        <v>196</v>
      </c>
      <c r="C118" s="164">
        <v>14</v>
      </c>
      <c r="D118" s="164">
        <v>1</v>
      </c>
      <c r="E118" s="20">
        <v>0</v>
      </c>
      <c r="F118" s="20">
        <f t="shared" ref="F118:F119" si="59">SUM(D118:E118)</f>
        <v>1</v>
      </c>
      <c r="G118" s="189">
        <v>407820</v>
      </c>
      <c r="H118" s="189">
        <f t="shared" si="53"/>
        <v>50977.5</v>
      </c>
      <c r="I118" s="189">
        <v>345390</v>
      </c>
      <c r="J118" s="189">
        <f t="shared" ref="J118:J119" si="60">G118*40%</f>
        <v>163128</v>
      </c>
      <c r="K118" s="189"/>
      <c r="L118" s="189">
        <f t="shared" ref="L118:L119" si="61">SUM(G118:K118)</f>
        <v>967315.5</v>
      </c>
    </row>
    <row r="119" spans="1:12" s="16" customFormat="1" ht="21.95" customHeight="1">
      <c r="A119" s="201">
        <v>96</v>
      </c>
      <c r="B119" s="162" t="s">
        <v>196</v>
      </c>
      <c r="C119" s="164">
        <v>14</v>
      </c>
      <c r="D119" s="164">
        <v>1</v>
      </c>
      <c r="E119" s="20">
        <v>0</v>
      </c>
      <c r="F119" s="20">
        <f t="shared" si="59"/>
        <v>1</v>
      </c>
      <c r="G119" s="189">
        <v>282540</v>
      </c>
      <c r="H119" s="189">
        <f t="shared" si="53"/>
        <v>35317.5</v>
      </c>
      <c r="I119" s="189">
        <v>300126</v>
      </c>
      <c r="J119" s="189">
        <f t="shared" si="60"/>
        <v>113016</v>
      </c>
      <c r="K119" s="189"/>
      <c r="L119" s="189">
        <f t="shared" si="61"/>
        <v>730999.5</v>
      </c>
    </row>
    <row r="120" spans="1:12" s="16" customFormat="1" ht="21.95" customHeight="1">
      <c r="A120" s="201">
        <v>97</v>
      </c>
      <c r="B120" s="162" t="s">
        <v>99</v>
      </c>
      <c r="C120" s="165">
        <v>12</v>
      </c>
      <c r="D120" s="164">
        <v>1</v>
      </c>
      <c r="E120" s="20">
        <v>0</v>
      </c>
      <c r="F120" s="20">
        <f t="shared" si="55"/>
        <v>1</v>
      </c>
      <c r="G120" s="189">
        <v>470330</v>
      </c>
      <c r="H120" s="189">
        <f t="shared" si="53"/>
        <v>58791.25</v>
      </c>
      <c r="I120" s="189">
        <v>370008</v>
      </c>
      <c r="J120" s="189">
        <f t="shared" si="54"/>
        <v>188132</v>
      </c>
      <c r="K120" s="189"/>
      <c r="L120" s="189">
        <f t="shared" si="21"/>
        <v>1087261.25</v>
      </c>
    </row>
    <row r="121" spans="1:12" s="16" customFormat="1" ht="21.95" customHeight="1">
      <c r="A121" s="201">
        <v>98</v>
      </c>
      <c r="B121" s="162" t="s">
        <v>152</v>
      </c>
      <c r="C121" s="165">
        <v>11</v>
      </c>
      <c r="D121" s="164">
        <v>1</v>
      </c>
      <c r="E121" s="20">
        <v>0</v>
      </c>
      <c r="F121" s="20">
        <v>1</v>
      </c>
      <c r="G121" s="189">
        <v>232970</v>
      </c>
      <c r="H121" s="189">
        <f t="shared" si="53"/>
        <v>29121.25</v>
      </c>
      <c r="I121" s="189">
        <v>257682</v>
      </c>
      <c r="J121" s="189">
        <f t="shared" si="54"/>
        <v>93188</v>
      </c>
      <c r="K121" s="189"/>
      <c r="L121" s="189">
        <f t="shared" si="21"/>
        <v>612961.25</v>
      </c>
    </row>
    <row r="122" spans="1:12" s="16" customFormat="1" ht="21.95" customHeight="1">
      <c r="A122" s="201">
        <v>99</v>
      </c>
      <c r="B122" s="162" t="s">
        <v>185</v>
      </c>
      <c r="C122" s="167">
        <v>11</v>
      </c>
      <c r="D122" s="164">
        <v>1</v>
      </c>
      <c r="E122" s="20">
        <v>0</v>
      </c>
      <c r="F122" s="20">
        <f t="shared" si="55"/>
        <v>1</v>
      </c>
      <c r="G122" s="189">
        <v>232970</v>
      </c>
      <c r="H122" s="189">
        <f t="shared" si="53"/>
        <v>29121.25</v>
      </c>
      <c r="I122" s="189">
        <v>299154</v>
      </c>
      <c r="J122" s="189">
        <f t="shared" si="54"/>
        <v>93188</v>
      </c>
      <c r="K122" s="189"/>
      <c r="L122" s="189">
        <f t="shared" ref="L122:L214" si="62">SUM(G122:K122)</f>
        <v>654433.25</v>
      </c>
    </row>
    <row r="123" spans="1:12" s="16" customFormat="1" ht="21.95" customHeight="1">
      <c r="A123" s="201">
        <v>100</v>
      </c>
      <c r="B123" s="162" t="s">
        <v>197</v>
      </c>
      <c r="C123" s="164">
        <v>9</v>
      </c>
      <c r="D123" s="164">
        <v>1</v>
      </c>
      <c r="E123" s="20">
        <v>0</v>
      </c>
      <c r="F123" s="20">
        <f t="shared" si="55"/>
        <v>1</v>
      </c>
      <c r="G123" s="189">
        <v>387310</v>
      </c>
      <c r="H123" s="189">
        <f t="shared" si="53"/>
        <v>48413.75</v>
      </c>
      <c r="I123" s="189">
        <v>312204</v>
      </c>
      <c r="J123" s="189">
        <f t="shared" si="54"/>
        <v>154924</v>
      </c>
      <c r="K123" s="189"/>
      <c r="L123" s="189">
        <f t="shared" si="62"/>
        <v>902851.75</v>
      </c>
    </row>
    <row r="124" spans="1:12" s="16" customFormat="1" ht="21.95" customHeight="1">
      <c r="A124" s="201">
        <v>101</v>
      </c>
      <c r="B124" s="162" t="s">
        <v>101</v>
      </c>
      <c r="C124" s="164" t="s">
        <v>201</v>
      </c>
      <c r="D124" s="164">
        <v>1</v>
      </c>
      <c r="E124" s="20">
        <v>0</v>
      </c>
      <c r="F124" s="20">
        <f>SUM(D124:E124)</f>
        <v>1</v>
      </c>
      <c r="G124" s="189">
        <v>217270</v>
      </c>
      <c r="H124" s="189">
        <f t="shared" si="53"/>
        <v>27158.75</v>
      </c>
      <c r="I124" s="189">
        <v>233394</v>
      </c>
      <c r="J124" s="189">
        <f t="shared" si="54"/>
        <v>86908</v>
      </c>
      <c r="K124" s="189"/>
      <c r="L124" s="189">
        <f t="shared" si="62"/>
        <v>564730.75</v>
      </c>
    </row>
    <row r="125" spans="1:12" s="16" customFormat="1" ht="21.95" customHeight="1">
      <c r="A125" s="201">
        <v>102</v>
      </c>
      <c r="B125" s="162" t="s">
        <v>199</v>
      </c>
      <c r="C125" s="164">
        <v>6</v>
      </c>
      <c r="D125" s="164">
        <v>1</v>
      </c>
      <c r="E125" s="20">
        <v>0</v>
      </c>
      <c r="F125" s="20">
        <f>SUM(D125:E125)</f>
        <v>1</v>
      </c>
      <c r="G125" s="189">
        <v>38040</v>
      </c>
      <c r="H125" s="189">
        <f t="shared" si="53"/>
        <v>4755</v>
      </c>
      <c r="I125" s="189">
        <v>271092</v>
      </c>
      <c r="J125" s="189">
        <f t="shared" si="54"/>
        <v>15216</v>
      </c>
      <c r="K125" s="189"/>
      <c r="L125" s="189">
        <f t="shared" si="62"/>
        <v>329103</v>
      </c>
    </row>
    <row r="126" spans="1:12" s="16" customFormat="1" ht="21.95" customHeight="1">
      <c r="A126" s="201">
        <v>103</v>
      </c>
      <c r="B126" s="162" t="s">
        <v>172</v>
      </c>
      <c r="C126" s="164">
        <v>8</v>
      </c>
      <c r="D126" s="164">
        <v>1</v>
      </c>
      <c r="E126" s="20">
        <v>0</v>
      </c>
      <c r="F126" s="20">
        <f t="shared" si="55"/>
        <v>1</v>
      </c>
      <c r="G126" s="189">
        <v>314010</v>
      </c>
      <c r="H126" s="189">
        <f t="shared" si="53"/>
        <v>39251.25</v>
      </c>
      <c r="I126" s="189">
        <v>257772</v>
      </c>
      <c r="J126" s="189">
        <f t="shared" si="54"/>
        <v>125604</v>
      </c>
      <c r="K126" s="189"/>
      <c r="L126" s="189">
        <f t="shared" si="62"/>
        <v>736637.25</v>
      </c>
    </row>
    <row r="127" spans="1:12" s="16" customFormat="1" ht="21.95" customHeight="1">
      <c r="A127" s="201">
        <v>104</v>
      </c>
      <c r="B127" s="162" t="s">
        <v>172</v>
      </c>
      <c r="C127" s="164">
        <v>8</v>
      </c>
      <c r="D127" s="164">
        <v>1</v>
      </c>
      <c r="E127" s="20">
        <v>0</v>
      </c>
      <c r="F127" s="20">
        <f t="shared" ref="F127" si="63">SUM(D127:E127)</f>
        <v>1</v>
      </c>
      <c r="G127" s="189">
        <v>209680</v>
      </c>
      <c r="H127" s="189">
        <f t="shared" si="53"/>
        <v>26210</v>
      </c>
      <c r="I127" s="189">
        <v>227706</v>
      </c>
      <c r="J127" s="189">
        <f t="shared" ref="J127" si="64">G127*40%</f>
        <v>83872</v>
      </c>
      <c r="K127" s="189"/>
      <c r="L127" s="189">
        <f t="shared" ref="L127" si="65">SUM(G127:K127)</f>
        <v>547468</v>
      </c>
    </row>
    <row r="128" spans="1:12" s="16" customFormat="1" ht="21.95" customHeight="1">
      <c r="A128" s="201">
        <v>105</v>
      </c>
      <c r="B128" s="169" t="s">
        <v>104</v>
      </c>
      <c r="C128" s="164">
        <v>7</v>
      </c>
      <c r="D128" s="164">
        <v>1</v>
      </c>
      <c r="E128" s="20">
        <v>0</v>
      </c>
      <c r="F128" s="20">
        <f>SUM(D128:E128)</f>
        <v>1</v>
      </c>
      <c r="G128" s="189">
        <v>529690</v>
      </c>
      <c r="H128" s="189">
        <f t="shared" si="53"/>
        <v>66211.25</v>
      </c>
      <c r="I128" s="189">
        <v>379626</v>
      </c>
      <c r="J128" s="189">
        <f t="shared" si="54"/>
        <v>211876</v>
      </c>
      <c r="K128" s="189"/>
      <c r="L128" s="189">
        <f t="shared" si="62"/>
        <v>1187403.25</v>
      </c>
    </row>
    <row r="129" spans="1:12" s="16" customFormat="1" ht="21.95" customHeight="1">
      <c r="A129" s="201">
        <v>105</v>
      </c>
      <c r="B129" s="169" t="s">
        <v>104</v>
      </c>
      <c r="C129" s="164">
        <v>7</v>
      </c>
      <c r="D129" s="164">
        <v>1</v>
      </c>
      <c r="E129" s="20">
        <v>0</v>
      </c>
      <c r="F129" s="20">
        <f>SUM(D129:E129)</f>
        <v>1</v>
      </c>
      <c r="G129" s="189">
        <v>436920</v>
      </c>
      <c r="H129" s="189">
        <f t="shared" ref="H129" si="66">G129*12.5%</f>
        <v>54615</v>
      </c>
      <c r="I129" s="189">
        <v>305484</v>
      </c>
      <c r="J129" s="189">
        <f t="shared" ref="J129" si="67">G129*40%</f>
        <v>174768</v>
      </c>
      <c r="K129" s="189"/>
      <c r="L129" s="189">
        <f t="shared" ref="L129" si="68">SUM(G129:K129)</f>
        <v>971787</v>
      </c>
    </row>
    <row r="130" spans="1:12" s="16" customFormat="1" ht="21.95" customHeight="1">
      <c r="A130" s="201">
        <v>106</v>
      </c>
      <c r="B130" s="169" t="s">
        <v>163</v>
      </c>
      <c r="C130" s="165">
        <v>7</v>
      </c>
      <c r="D130" s="164">
        <v>1</v>
      </c>
      <c r="E130" s="20">
        <v>0</v>
      </c>
      <c r="F130" s="20">
        <f>SUM(D130:E130)</f>
        <v>1</v>
      </c>
      <c r="G130" s="189">
        <v>453250</v>
      </c>
      <c r="H130" s="189">
        <f t="shared" si="53"/>
        <v>56656.25</v>
      </c>
      <c r="I130" s="189">
        <v>337512</v>
      </c>
      <c r="J130" s="189">
        <f t="shared" si="54"/>
        <v>181300</v>
      </c>
      <c r="K130" s="189"/>
      <c r="L130" s="189">
        <f t="shared" si="62"/>
        <v>1028718.25</v>
      </c>
    </row>
    <row r="131" spans="1:12" s="16" customFormat="1" ht="21.95" customHeight="1">
      <c r="A131" s="201">
        <v>107</v>
      </c>
      <c r="B131" s="169" t="s">
        <v>163</v>
      </c>
      <c r="C131" s="165">
        <v>7</v>
      </c>
      <c r="D131" s="164">
        <v>1</v>
      </c>
      <c r="E131" s="20">
        <v>0</v>
      </c>
      <c r="F131" s="20">
        <f t="shared" ref="F131:F132" si="69">SUM(D131:E131)</f>
        <v>1</v>
      </c>
      <c r="G131" s="189">
        <v>453250</v>
      </c>
      <c r="H131" s="189">
        <f t="shared" si="53"/>
        <v>56656.25</v>
      </c>
      <c r="I131" s="189">
        <v>337512</v>
      </c>
      <c r="J131" s="189">
        <f t="shared" ref="J131:J132" si="70">G131*40%</f>
        <v>181300</v>
      </c>
      <c r="K131" s="189"/>
      <c r="L131" s="189">
        <f t="shared" ref="L131:L132" si="71">SUM(G131:K131)</f>
        <v>1028718.25</v>
      </c>
    </row>
    <row r="132" spans="1:12" s="16" customFormat="1" ht="21.95" customHeight="1">
      <c r="A132" s="201">
        <v>108</v>
      </c>
      <c r="B132" s="169" t="s">
        <v>163</v>
      </c>
      <c r="C132" s="165">
        <v>7</v>
      </c>
      <c r="D132" s="164">
        <v>1</v>
      </c>
      <c r="E132" s="20">
        <v>0</v>
      </c>
      <c r="F132" s="20">
        <f t="shared" si="69"/>
        <v>1</v>
      </c>
      <c r="G132" s="189">
        <v>453250</v>
      </c>
      <c r="H132" s="189">
        <f t="shared" si="53"/>
        <v>56656.25</v>
      </c>
      <c r="I132" s="189">
        <v>337512</v>
      </c>
      <c r="J132" s="189">
        <f t="shared" si="70"/>
        <v>181300</v>
      </c>
      <c r="K132" s="189"/>
      <c r="L132" s="189">
        <f t="shared" si="71"/>
        <v>1028718.25</v>
      </c>
    </row>
    <row r="133" spans="1:12" s="16" customFormat="1" ht="21.95" customHeight="1">
      <c r="A133" s="201">
        <v>109</v>
      </c>
      <c r="B133" s="169" t="s">
        <v>163</v>
      </c>
      <c r="C133" s="165">
        <v>6</v>
      </c>
      <c r="D133" s="164">
        <v>1</v>
      </c>
      <c r="E133" s="20">
        <v>0</v>
      </c>
      <c r="F133" s="20">
        <f>SUM(D133:E133)</f>
        <v>1</v>
      </c>
      <c r="G133" s="189">
        <v>447000</v>
      </c>
      <c r="H133" s="189">
        <f t="shared" si="53"/>
        <v>55875</v>
      </c>
      <c r="I133" s="189">
        <v>333684</v>
      </c>
      <c r="J133" s="189">
        <f t="shared" si="54"/>
        <v>178800</v>
      </c>
      <c r="K133" s="189"/>
      <c r="L133" s="189">
        <f t="shared" si="62"/>
        <v>1015359</v>
      </c>
    </row>
    <row r="134" spans="1:12" s="16" customFormat="1" ht="21.95" customHeight="1">
      <c r="A134" s="201">
        <v>110</v>
      </c>
      <c r="B134" s="162" t="s">
        <v>164</v>
      </c>
      <c r="C134" s="164">
        <v>5</v>
      </c>
      <c r="D134" s="164">
        <v>1</v>
      </c>
      <c r="E134" s="20">
        <v>0</v>
      </c>
      <c r="F134" s="20">
        <f>SUM(D134:E134)</f>
        <v>1</v>
      </c>
      <c r="G134" s="189">
        <v>456450</v>
      </c>
      <c r="H134" s="189">
        <f t="shared" si="53"/>
        <v>57056.25</v>
      </c>
      <c r="I134" s="189">
        <v>336828</v>
      </c>
      <c r="J134" s="189">
        <f t="shared" si="54"/>
        <v>182580</v>
      </c>
      <c r="K134" s="189"/>
      <c r="L134" s="189">
        <f t="shared" si="62"/>
        <v>1032914.25</v>
      </c>
    </row>
    <row r="135" spans="1:12" s="16" customFormat="1" ht="21.95" customHeight="1">
      <c r="A135" s="201">
        <v>111</v>
      </c>
      <c r="B135" s="162" t="s">
        <v>164</v>
      </c>
      <c r="C135" s="164">
        <v>5</v>
      </c>
      <c r="D135" s="164">
        <v>1</v>
      </c>
      <c r="E135" s="20">
        <v>0</v>
      </c>
      <c r="F135" s="20">
        <f>SUM(D135:E135)</f>
        <v>1</v>
      </c>
      <c r="G135" s="189">
        <v>377010</v>
      </c>
      <c r="H135" s="189">
        <f t="shared" si="53"/>
        <v>47126.25</v>
      </c>
      <c r="I135" s="189">
        <v>293544</v>
      </c>
      <c r="J135" s="189">
        <f t="shared" ref="J135" si="72">G135*40%</f>
        <v>150804</v>
      </c>
      <c r="K135" s="189"/>
      <c r="L135" s="189">
        <f t="shared" ref="L135" si="73">SUM(G135:K135)</f>
        <v>868484.25</v>
      </c>
    </row>
    <row r="136" spans="1:12" s="16" customFormat="1" ht="21.95" customHeight="1">
      <c r="A136" s="201">
        <v>112</v>
      </c>
      <c r="B136" s="162" t="s">
        <v>68</v>
      </c>
      <c r="C136" s="164">
        <v>5</v>
      </c>
      <c r="D136" s="164">
        <v>1</v>
      </c>
      <c r="E136" s="20">
        <v>0</v>
      </c>
      <c r="F136" s="20">
        <f t="shared" si="55"/>
        <v>1</v>
      </c>
      <c r="G136" s="189">
        <v>314010</v>
      </c>
      <c r="H136" s="189">
        <f t="shared" si="53"/>
        <v>39251.25</v>
      </c>
      <c r="I136" s="189">
        <v>260814</v>
      </c>
      <c r="J136" s="189">
        <f t="shared" si="54"/>
        <v>125604</v>
      </c>
      <c r="K136" s="189"/>
      <c r="L136" s="189">
        <f t="shared" si="62"/>
        <v>739679.25</v>
      </c>
    </row>
    <row r="137" spans="1:12" s="16" customFormat="1" ht="21.95" customHeight="1">
      <c r="A137" s="201">
        <v>113</v>
      </c>
      <c r="B137" s="162" t="s">
        <v>68</v>
      </c>
      <c r="C137" s="164">
        <v>5</v>
      </c>
      <c r="D137" s="164">
        <v>1</v>
      </c>
      <c r="E137" s="20">
        <v>0</v>
      </c>
      <c r="F137" s="20">
        <f t="shared" ref="F137:F138" si="74">SUM(D137:E137)</f>
        <v>1</v>
      </c>
      <c r="G137" s="189">
        <v>188010</v>
      </c>
      <c r="H137" s="189">
        <f t="shared" si="53"/>
        <v>23501.25</v>
      </c>
      <c r="I137" s="189">
        <v>236394</v>
      </c>
      <c r="J137" s="189">
        <f t="shared" ref="J137:J138" si="75">G137*40%</f>
        <v>75204</v>
      </c>
      <c r="K137" s="189"/>
      <c r="L137" s="189">
        <f t="shared" ref="L137:L138" si="76">SUM(G137:K137)</f>
        <v>523109.25</v>
      </c>
    </row>
    <row r="138" spans="1:12" s="16" customFormat="1" ht="21.95" customHeight="1">
      <c r="A138" s="201">
        <v>114</v>
      </c>
      <c r="B138" s="162" t="s">
        <v>68</v>
      </c>
      <c r="C138" s="164">
        <v>5</v>
      </c>
      <c r="D138" s="164">
        <v>1</v>
      </c>
      <c r="E138" s="20">
        <v>0</v>
      </c>
      <c r="F138" s="20">
        <f t="shared" si="74"/>
        <v>1</v>
      </c>
      <c r="G138" s="189">
        <v>188640</v>
      </c>
      <c r="H138" s="189">
        <f t="shared" si="53"/>
        <v>23580</v>
      </c>
      <c r="I138" s="189">
        <v>252444</v>
      </c>
      <c r="J138" s="189">
        <f t="shared" si="75"/>
        <v>75456</v>
      </c>
      <c r="K138" s="189"/>
      <c r="L138" s="189">
        <f t="shared" si="76"/>
        <v>540120</v>
      </c>
    </row>
    <row r="139" spans="1:12" s="16" customFormat="1" ht="21.95" customHeight="1">
      <c r="A139" s="201">
        <v>115</v>
      </c>
      <c r="B139" s="162" t="s">
        <v>198</v>
      </c>
      <c r="C139" s="164">
        <v>6</v>
      </c>
      <c r="D139" s="164">
        <v>1</v>
      </c>
      <c r="E139" s="20">
        <v>0</v>
      </c>
      <c r="F139" s="20">
        <f t="shared" si="55"/>
        <v>1</v>
      </c>
      <c r="G139" s="189">
        <v>406680</v>
      </c>
      <c r="H139" s="189">
        <f t="shared" si="53"/>
        <v>50835</v>
      </c>
      <c r="I139" s="189">
        <v>315948</v>
      </c>
      <c r="J139" s="189">
        <f t="shared" si="54"/>
        <v>162672</v>
      </c>
      <c r="K139" s="189"/>
      <c r="L139" s="189">
        <f t="shared" si="62"/>
        <v>936135</v>
      </c>
    </row>
    <row r="140" spans="1:12" s="16" customFormat="1" ht="21.95" customHeight="1">
      <c r="A140" s="201">
        <v>116</v>
      </c>
      <c r="B140" s="162" t="s">
        <v>198</v>
      </c>
      <c r="C140" s="164">
        <v>6</v>
      </c>
      <c r="D140" s="164">
        <v>1</v>
      </c>
      <c r="E140" s="20">
        <v>0</v>
      </c>
      <c r="F140" s="20">
        <f t="shared" ref="F140:F142" si="77">SUM(D140:E140)</f>
        <v>1</v>
      </c>
      <c r="G140" s="189">
        <v>457080</v>
      </c>
      <c r="H140" s="189">
        <f t="shared" si="53"/>
        <v>57135</v>
      </c>
      <c r="I140" s="189">
        <v>343668</v>
      </c>
      <c r="J140" s="189">
        <f t="shared" ref="J140:J142" si="78">G140*40%</f>
        <v>182832</v>
      </c>
      <c r="K140" s="189"/>
      <c r="L140" s="189">
        <f t="shared" ref="L140:L142" si="79">SUM(G140:K140)</f>
        <v>1040715</v>
      </c>
    </row>
    <row r="141" spans="1:12" s="16" customFormat="1" ht="21.95" customHeight="1">
      <c r="A141" s="201">
        <v>117</v>
      </c>
      <c r="B141" s="162" t="s">
        <v>198</v>
      </c>
      <c r="C141" s="164">
        <v>6</v>
      </c>
      <c r="D141" s="164">
        <v>1</v>
      </c>
      <c r="E141" s="20">
        <v>0</v>
      </c>
      <c r="F141" s="20">
        <f t="shared" si="77"/>
        <v>1</v>
      </c>
      <c r="G141" s="189">
        <v>195000</v>
      </c>
      <c r="H141" s="189">
        <f t="shared" si="53"/>
        <v>24375</v>
      </c>
      <c r="I141" s="189">
        <v>246400</v>
      </c>
      <c r="J141" s="189">
        <f t="shared" si="78"/>
        <v>78000</v>
      </c>
      <c r="K141" s="189"/>
      <c r="L141" s="189">
        <f t="shared" si="79"/>
        <v>543775</v>
      </c>
    </row>
    <row r="142" spans="1:12" s="16" customFormat="1" ht="21.95" customHeight="1">
      <c r="A142" s="201">
        <v>118</v>
      </c>
      <c r="B142" s="162" t="s">
        <v>198</v>
      </c>
      <c r="C142" s="164">
        <v>6</v>
      </c>
      <c r="D142" s="164">
        <v>1</v>
      </c>
      <c r="E142" s="20">
        <v>0</v>
      </c>
      <c r="F142" s="20">
        <f t="shared" si="77"/>
        <v>1</v>
      </c>
      <c r="G142" s="189">
        <v>195000</v>
      </c>
      <c r="H142" s="189">
        <f t="shared" si="53"/>
        <v>24375</v>
      </c>
      <c r="I142" s="189">
        <v>269916</v>
      </c>
      <c r="J142" s="189">
        <f t="shared" si="78"/>
        <v>78000</v>
      </c>
      <c r="K142" s="189"/>
      <c r="L142" s="189">
        <f t="shared" si="79"/>
        <v>567291</v>
      </c>
    </row>
    <row r="143" spans="1:12" s="16" customFormat="1" ht="21.95" customHeight="1">
      <c r="A143" s="201">
        <v>119</v>
      </c>
      <c r="B143" s="162" t="s">
        <v>240</v>
      </c>
      <c r="C143" s="164">
        <v>2</v>
      </c>
      <c r="D143" s="164">
        <v>1</v>
      </c>
      <c r="E143" s="20">
        <v>0</v>
      </c>
      <c r="F143" s="20">
        <f t="shared" si="55"/>
        <v>1</v>
      </c>
      <c r="G143" s="189">
        <v>195000</v>
      </c>
      <c r="H143" s="189">
        <f t="shared" si="53"/>
        <v>24375</v>
      </c>
      <c r="I143" s="189">
        <v>202884</v>
      </c>
      <c r="J143" s="189">
        <f t="shared" si="54"/>
        <v>78000</v>
      </c>
      <c r="K143" s="189">
        <f>4146*12</f>
        <v>49752</v>
      </c>
      <c r="L143" s="189">
        <f t="shared" si="62"/>
        <v>550011</v>
      </c>
    </row>
    <row r="144" spans="1:12" s="16" customFormat="1" ht="21.95" customHeight="1">
      <c r="A144" s="201">
        <v>120</v>
      </c>
      <c r="B144" s="162" t="s">
        <v>240</v>
      </c>
      <c r="C144" s="164">
        <v>2</v>
      </c>
      <c r="D144" s="164">
        <v>1</v>
      </c>
      <c r="E144" s="20">
        <v>0</v>
      </c>
      <c r="F144" s="20">
        <f t="shared" ref="F144" si="80">SUM(D144:E144)</f>
        <v>1</v>
      </c>
      <c r="G144" s="189">
        <v>188010</v>
      </c>
      <c r="H144" s="189">
        <f t="shared" si="53"/>
        <v>23501.25</v>
      </c>
      <c r="I144" s="189">
        <v>202884</v>
      </c>
      <c r="J144" s="189">
        <f t="shared" ref="J144" si="81">G144*40%</f>
        <v>75204</v>
      </c>
      <c r="K144" s="189">
        <f>4146*12</f>
        <v>49752</v>
      </c>
      <c r="L144" s="189">
        <f t="shared" ref="L144" si="82">SUM(G144:K144)</f>
        <v>539351.25</v>
      </c>
    </row>
    <row r="145" spans="1:12" s="16" customFormat="1" ht="21.95" customHeight="1">
      <c r="A145" s="201">
        <v>121</v>
      </c>
      <c r="B145" s="169" t="s">
        <v>104</v>
      </c>
      <c r="C145" s="164">
        <v>5</v>
      </c>
      <c r="D145" s="164">
        <v>1</v>
      </c>
      <c r="E145" s="20">
        <v>0</v>
      </c>
      <c r="F145" s="20">
        <f t="shared" si="55"/>
        <v>1</v>
      </c>
      <c r="G145" s="189">
        <v>436290</v>
      </c>
      <c r="H145" s="189">
        <f t="shared" si="53"/>
        <v>54536.25</v>
      </c>
      <c r="I145" s="189">
        <v>327036</v>
      </c>
      <c r="J145" s="189">
        <f t="shared" si="54"/>
        <v>174516</v>
      </c>
      <c r="K145" s="189"/>
      <c r="L145" s="189">
        <f t="shared" si="62"/>
        <v>992378.25</v>
      </c>
    </row>
    <row r="146" spans="1:12" s="16" customFormat="1" ht="21.95" customHeight="1">
      <c r="A146" s="201">
        <v>122</v>
      </c>
      <c r="B146" s="169" t="s">
        <v>104</v>
      </c>
      <c r="C146" s="164">
        <v>5</v>
      </c>
      <c r="D146" s="164">
        <v>1</v>
      </c>
      <c r="E146" s="20">
        <v>0</v>
      </c>
      <c r="F146" s="20">
        <f t="shared" ref="F146:F147" si="83">SUM(D146:E146)</f>
        <v>1</v>
      </c>
      <c r="G146" s="189">
        <v>188010</v>
      </c>
      <c r="H146" s="189">
        <f t="shared" si="53"/>
        <v>23501.25</v>
      </c>
      <c r="I146" s="189">
        <v>208806</v>
      </c>
      <c r="J146" s="189">
        <f t="shared" ref="J146:J147" si="84">G146*40%</f>
        <v>75204</v>
      </c>
      <c r="K146" s="189"/>
      <c r="L146" s="189">
        <f t="shared" ref="L146:L147" si="85">SUM(G146:K146)</f>
        <v>495521.25</v>
      </c>
    </row>
    <row r="147" spans="1:12" s="16" customFormat="1" ht="21.95" customHeight="1">
      <c r="A147" s="201">
        <v>123</v>
      </c>
      <c r="B147" s="169" t="s">
        <v>104</v>
      </c>
      <c r="C147" s="164">
        <v>5</v>
      </c>
      <c r="D147" s="164">
        <v>1</v>
      </c>
      <c r="E147" s="20">
        <v>0</v>
      </c>
      <c r="F147" s="20">
        <f t="shared" si="83"/>
        <v>1</v>
      </c>
      <c r="G147" s="189">
        <v>188010</v>
      </c>
      <c r="H147" s="189">
        <f t="shared" si="53"/>
        <v>23501.25</v>
      </c>
      <c r="I147" s="189">
        <v>208806</v>
      </c>
      <c r="J147" s="189">
        <f t="shared" si="84"/>
        <v>75204</v>
      </c>
      <c r="K147" s="189"/>
      <c r="L147" s="189">
        <f t="shared" si="85"/>
        <v>495521.25</v>
      </c>
    </row>
    <row r="148" spans="1:12" s="16" customFormat="1" ht="21.95" customHeight="1">
      <c r="A148" s="201">
        <v>124</v>
      </c>
      <c r="B148" s="162" t="s">
        <v>157</v>
      </c>
      <c r="C148" s="164">
        <v>5</v>
      </c>
      <c r="D148" s="164">
        <v>1</v>
      </c>
      <c r="E148" s="20">
        <v>0</v>
      </c>
      <c r="F148" s="20">
        <f t="shared" si="55"/>
        <v>1</v>
      </c>
      <c r="G148" s="189">
        <v>188010</v>
      </c>
      <c r="H148" s="189">
        <f t="shared" si="53"/>
        <v>23501.25</v>
      </c>
      <c r="I148" s="189">
        <v>208806</v>
      </c>
      <c r="J148" s="189">
        <f t="shared" si="54"/>
        <v>75204</v>
      </c>
      <c r="K148" s="189"/>
      <c r="L148" s="189">
        <f t="shared" si="62"/>
        <v>495521.25</v>
      </c>
    </row>
    <row r="149" spans="1:12" s="16" customFormat="1" ht="21.95" customHeight="1">
      <c r="A149" s="201">
        <v>125</v>
      </c>
      <c r="B149" s="162" t="s">
        <v>12</v>
      </c>
      <c r="C149" s="164">
        <v>5</v>
      </c>
      <c r="D149" s="164">
        <v>1</v>
      </c>
      <c r="E149" s="20">
        <v>0</v>
      </c>
      <c r="F149" s="20">
        <f t="shared" si="55"/>
        <v>1</v>
      </c>
      <c r="G149" s="189">
        <v>180900</v>
      </c>
      <c r="H149" s="189">
        <f t="shared" si="53"/>
        <v>22612.5</v>
      </c>
      <c r="I149" s="189">
        <v>208806</v>
      </c>
      <c r="J149" s="189">
        <f t="shared" si="54"/>
        <v>72360</v>
      </c>
      <c r="K149" s="189"/>
      <c r="L149" s="189">
        <f t="shared" si="62"/>
        <v>484678.5</v>
      </c>
    </row>
    <row r="150" spans="1:12" s="16" customFormat="1" ht="21.95" customHeight="1">
      <c r="A150" s="201">
        <v>126</v>
      </c>
      <c r="B150" s="162" t="s">
        <v>176</v>
      </c>
      <c r="C150" s="164">
        <v>5</v>
      </c>
      <c r="D150" s="164">
        <v>1</v>
      </c>
      <c r="E150" s="20">
        <v>0</v>
      </c>
      <c r="F150" s="20">
        <f t="shared" si="55"/>
        <v>1</v>
      </c>
      <c r="G150" s="189">
        <v>296010</v>
      </c>
      <c r="H150" s="189">
        <f t="shared" si="53"/>
        <v>37001.25</v>
      </c>
      <c r="I150" s="189">
        <v>253452</v>
      </c>
      <c r="J150" s="189">
        <f t="shared" si="54"/>
        <v>118404</v>
      </c>
      <c r="K150" s="189"/>
      <c r="L150" s="189">
        <f t="shared" si="62"/>
        <v>704867.25</v>
      </c>
    </row>
    <row r="151" spans="1:12" s="16" customFormat="1" ht="21.95" customHeight="1">
      <c r="A151" s="201">
        <v>127</v>
      </c>
      <c r="B151" s="162" t="s">
        <v>176</v>
      </c>
      <c r="C151" s="164">
        <v>5</v>
      </c>
      <c r="D151" s="164">
        <v>1</v>
      </c>
      <c r="E151" s="20">
        <v>0</v>
      </c>
      <c r="F151" s="20">
        <f t="shared" ref="F151:F153" si="86">SUM(D151:E151)</f>
        <v>1</v>
      </c>
      <c r="G151" s="189">
        <v>205290</v>
      </c>
      <c r="H151" s="189">
        <f t="shared" si="53"/>
        <v>25661.25</v>
      </c>
      <c r="I151" s="189">
        <v>252594</v>
      </c>
      <c r="J151" s="189">
        <f t="shared" ref="J151:J153" si="87">G151*40%</f>
        <v>82116</v>
      </c>
      <c r="K151" s="189"/>
      <c r="L151" s="189">
        <f t="shared" ref="L151:L153" si="88">SUM(G151:K151)</f>
        <v>565661.25</v>
      </c>
    </row>
    <row r="152" spans="1:12" s="16" customFormat="1" ht="21.95" customHeight="1">
      <c r="A152" s="201">
        <v>128</v>
      </c>
      <c r="B152" s="162" t="s">
        <v>176</v>
      </c>
      <c r="C152" s="164">
        <v>5</v>
      </c>
      <c r="D152" s="164">
        <v>1</v>
      </c>
      <c r="E152" s="20">
        <v>0</v>
      </c>
      <c r="F152" s="20">
        <f t="shared" si="86"/>
        <v>1</v>
      </c>
      <c r="G152" s="189">
        <v>296010</v>
      </c>
      <c r="H152" s="189">
        <f t="shared" si="53"/>
        <v>37001.25</v>
      </c>
      <c r="I152" s="189">
        <v>260112</v>
      </c>
      <c r="J152" s="189">
        <f t="shared" si="87"/>
        <v>118404</v>
      </c>
      <c r="K152" s="189"/>
      <c r="L152" s="189">
        <f t="shared" si="88"/>
        <v>711527.25</v>
      </c>
    </row>
    <row r="153" spans="1:12" s="16" customFormat="1" ht="21.95" customHeight="1">
      <c r="A153" s="201">
        <v>129</v>
      </c>
      <c r="B153" s="162" t="s">
        <v>176</v>
      </c>
      <c r="C153" s="164">
        <v>5</v>
      </c>
      <c r="D153" s="164">
        <v>1</v>
      </c>
      <c r="E153" s="20">
        <v>0</v>
      </c>
      <c r="F153" s="20">
        <f t="shared" si="86"/>
        <v>1</v>
      </c>
      <c r="G153" s="189">
        <v>295380</v>
      </c>
      <c r="H153" s="189">
        <f t="shared" si="53"/>
        <v>36922.5</v>
      </c>
      <c r="I153" s="189">
        <v>256512</v>
      </c>
      <c r="J153" s="189">
        <f t="shared" si="87"/>
        <v>118152</v>
      </c>
      <c r="K153" s="189"/>
      <c r="L153" s="189">
        <f t="shared" si="88"/>
        <v>706966.5</v>
      </c>
    </row>
    <row r="154" spans="1:12" s="16" customFormat="1" ht="21.95" customHeight="1">
      <c r="A154" s="201">
        <v>130</v>
      </c>
      <c r="B154" s="162" t="s">
        <v>103</v>
      </c>
      <c r="C154" s="164">
        <v>1</v>
      </c>
      <c r="D154" s="164">
        <v>1</v>
      </c>
      <c r="E154" s="20">
        <v>0</v>
      </c>
      <c r="F154" s="20">
        <f t="shared" ref="F154:F159" si="89">SUM(D154:E154)</f>
        <v>1</v>
      </c>
      <c r="G154" s="189">
        <v>185770</v>
      </c>
      <c r="H154" s="189">
        <f t="shared" si="53"/>
        <v>23221.25</v>
      </c>
      <c r="I154" s="189">
        <v>208806</v>
      </c>
      <c r="J154" s="189">
        <f t="shared" si="54"/>
        <v>74308</v>
      </c>
      <c r="K154" s="189"/>
      <c r="L154" s="189">
        <f t="shared" si="62"/>
        <v>492105.25</v>
      </c>
    </row>
    <row r="155" spans="1:12" s="16" customFormat="1" ht="21.95" customHeight="1">
      <c r="A155" s="201">
        <v>131</v>
      </c>
      <c r="B155" s="162" t="s">
        <v>103</v>
      </c>
      <c r="C155" s="164">
        <v>1</v>
      </c>
      <c r="D155" s="164">
        <v>1</v>
      </c>
      <c r="E155" s="20">
        <v>0</v>
      </c>
      <c r="F155" s="20">
        <f t="shared" si="89"/>
        <v>1</v>
      </c>
      <c r="G155" s="189">
        <v>371610</v>
      </c>
      <c r="H155" s="189">
        <f t="shared" si="53"/>
        <v>46451.25</v>
      </c>
      <c r="I155" s="189">
        <v>286914</v>
      </c>
      <c r="J155" s="189">
        <f t="shared" ref="J155" si="90">G155*40%</f>
        <v>148644</v>
      </c>
      <c r="K155" s="189">
        <f>2739*12</f>
        <v>32868</v>
      </c>
      <c r="L155" s="189">
        <f t="shared" ref="L155" si="91">SUM(G155:K155)</f>
        <v>886487.25</v>
      </c>
    </row>
    <row r="156" spans="1:12" s="16" customFormat="1" ht="21.95" customHeight="1">
      <c r="A156" s="201">
        <v>132</v>
      </c>
      <c r="B156" s="162" t="s">
        <v>190</v>
      </c>
      <c r="C156" s="164">
        <v>6</v>
      </c>
      <c r="D156" s="164">
        <v>0</v>
      </c>
      <c r="E156" s="19">
        <v>1</v>
      </c>
      <c r="F156" s="19">
        <f t="shared" si="89"/>
        <v>1</v>
      </c>
      <c r="G156" s="189">
        <v>186250</v>
      </c>
      <c r="H156" s="189">
        <f t="shared" si="53"/>
        <v>23281.25</v>
      </c>
      <c r="I156" s="189">
        <v>215850</v>
      </c>
      <c r="J156" s="189">
        <f t="shared" si="54"/>
        <v>74500</v>
      </c>
      <c r="K156" s="189"/>
      <c r="L156" s="189">
        <f t="shared" si="62"/>
        <v>499881.25</v>
      </c>
    </row>
    <row r="157" spans="1:12" s="16" customFormat="1" ht="21.95" customHeight="1">
      <c r="A157" s="201">
        <v>133</v>
      </c>
      <c r="B157" s="162" t="s">
        <v>190</v>
      </c>
      <c r="C157" s="164">
        <v>4</v>
      </c>
      <c r="D157" s="164">
        <v>0</v>
      </c>
      <c r="E157" s="19">
        <v>1</v>
      </c>
      <c r="F157" s="19">
        <f t="shared" si="89"/>
        <v>1</v>
      </c>
      <c r="G157" s="189">
        <v>454210</v>
      </c>
      <c r="H157" s="189">
        <f t="shared" si="53"/>
        <v>56776.25</v>
      </c>
      <c r="I157" s="189"/>
      <c r="J157" s="189">
        <f t="shared" si="54"/>
        <v>181684</v>
      </c>
      <c r="K157" s="189"/>
      <c r="L157" s="189">
        <f t="shared" si="62"/>
        <v>692670.25</v>
      </c>
    </row>
    <row r="158" spans="1:12" s="16" customFormat="1" ht="21.95" customHeight="1">
      <c r="A158" s="201">
        <v>134</v>
      </c>
      <c r="B158" s="162" t="s">
        <v>190</v>
      </c>
      <c r="C158" s="164">
        <v>1</v>
      </c>
      <c r="D158" s="164">
        <v>1</v>
      </c>
      <c r="E158" s="19">
        <v>0</v>
      </c>
      <c r="F158" s="19">
        <f t="shared" si="89"/>
        <v>1</v>
      </c>
      <c r="G158" s="189">
        <v>296010</v>
      </c>
      <c r="H158" s="189">
        <f t="shared" si="53"/>
        <v>37001.25</v>
      </c>
      <c r="I158" s="189">
        <v>228648</v>
      </c>
      <c r="J158" s="189">
        <f t="shared" si="54"/>
        <v>118404</v>
      </c>
      <c r="K158" s="189"/>
      <c r="L158" s="189">
        <f t="shared" si="62"/>
        <v>680063.25</v>
      </c>
    </row>
    <row r="159" spans="1:12" s="16" customFormat="1" ht="21.95" customHeight="1">
      <c r="A159" s="201">
        <v>135</v>
      </c>
      <c r="B159" s="162" t="s">
        <v>190</v>
      </c>
      <c r="C159" s="164">
        <v>1</v>
      </c>
      <c r="D159" s="164">
        <v>1</v>
      </c>
      <c r="E159" s="19">
        <v>0</v>
      </c>
      <c r="F159" s="19">
        <f t="shared" si="89"/>
        <v>1</v>
      </c>
      <c r="G159" s="189">
        <v>175930</v>
      </c>
      <c r="H159" s="189">
        <f t="shared" si="53"/>
        <v>21991.25</v>
      </c>
      <c r="I159" s="189">
        <v>158724</v>
      </c>
      <c r="J159" s="189">
        <f t="shared" ref="J159" si="92">G159*40%</f>
        <v>70372</v>
      </c>
      <c r="K159" s="189"/>
      <c r="L159" s="189">
        <f t="shared" ref="L159" si="93">SUM(G159:K159)</f>
        <v>427017.25</v>
      </c>
    </row>
    <row r="160" spans="1:12" s="16" customFormat="1" ht="21.95" customHeight="1">
      <c r="A160" s="201">
        <v>136</v>
      </c>
      <c r="B160" s="162" t="s">
        <v>184</v>
      </c>
      <c r="C160" s="164">
        <v>5</v>
      </c>
      <c r="D160" s="164">
        <v>1</v>
      </c>
      <c r="E160" s="20">
        <v>0</v>
      </c>
      <c r="F160" s="20">
        <v>1</v>
      </c>
      <c r="G160" s="189">
        <v>175930</v>
      </c>
      <c r="H160" s="189">
        <f t="shared" si="53"/>
        <v>21991.25</v>
      </c>
      <c r="I160" s="189">
        <v>118338</v>
      </c>
      <c r="J160" s="189">
        <f t="shared" si="54"/>
        <v>70372</v>
      </c>
      <c r="K160" s="189"/>
      <c r="L160" s="189">
        <f t="shared" si="62"/>
        <v>386631.25</v>
      </c>
    </row>
    <row r="161" spans="1:12" s="16" customFormat="1" ht="21.95" customHeight="1">
      <c r="A161" s="201">
        <v>137</v>
      </c>
      <c r="B161" s="162" t="s">
        <v>158</v>
      </c>
      <c r="C161" s="164">
        <v>3</v>
      </c>
      <c r="D161" s="164">
        <v>1</v>
      </c>
      <c r="E161" s="20">
        <v>0</v>
      </c>
      <c r="F161" s="20">
        <f>SUM(D161:E161)</f>
        <v>1</v>
      </c>
      <c r="G161" s="189">
        <v>422010</v>
      </c>
      <c r="H161" s="189">
        <f t="shared" si="53"/>
        <v>52751.25</v>
      </c>
      <c r="I161" s="189">
        <v>389802</v>
      </c>
      <c r="J161" s="189">
        <f t="shared" si="54"/>
        <v>168804</v>
      </c>
      <c r="K161" s="189"/>
      <c r="L161" s="189">
        <f t="shared" si="62"/>
        <v>1033367.25</v>
      </c>
    </row>
    <row r="162" spans="1:12" s="16" customFormat="1" ht="21.95" customHeight="1">
      <c r="A162" s="201">
        <v>138</v>
      </c>
      <c r="B162" s="162" t="s">
        <v>158</v>
      </c>
      <c r="C162" s="164">
        <v>3</v>
      </c>
      <c r="D162" s="164">
        <v>1</v>
      </c>
      <c r="E162" s="20">
        <v>0</v>
      </c>
      <c r="F162" s="20">
        <f>SUM(D162:E162)</f>
        <v>1</v>
      </c>
      <c r="G162" s="189">
        <v>440010</v>
      </c>
      <c r="H162" s="189">
        <f t="shared" si="53"/>
        <v>55001.25</v>
      </c>
      <c r="I162" s="189">
        <v>327702</v>
      </c>
      <c r="J162" s="189">
        <f t="shared" ref="J162" si="94">G162*40%</f>
        <v>176004</v>
      </c>
      <c r="K162" s="189"/>
      <c r="L162" s="189">
        <f t="shared" ref="L162" si="95">SUM(G162:K162)</f>
        <v>998717.25</v>
      </c>
    </row>
    <row r="163" spans="1:12" s="16" customFormat="1" ht="21.95" customHeight="1">
      <c r="A163" s="201">
        <v>139</v>
      </c>
      <c r="B163" s="162" t="s">
        <v>161</v>
      </c>
      <c r="C163" s="164">
        <v>3</v>
      </c>
      <c r="D163" s="164">
        <v>1</v>
      </c>
      <c r="E163" s="20">
        <v>0</v>
      </c>
      <c r="F163" s="20">
        <v>1</v>
      </c>
      <c r="G163" s="189">
        <v>370980</v>
      </c>
      <c r="H163" s="189">
        <f t="shared" si="53"/>
        <v>46372.5</v>
      </c>
      <c r="I163" s="189">
        <v>286914</v>
      </c>
      <c r="J163" s="189">
        <f t="shared" si="54"/>
        <v>148392</v>
      </c>
      <c r="K163" s="189"/>
      <c r="L163" s="189">
        <f t="shared" si="62"/>
        <v>852658.5</v>
      </c>
    </row>
    <row r="164" spans="1:12" s="16" customFormat="1" ht="21.95" customHeight="1">
      <c r="A164" s="201">
        <v>140</v>
      </c>
      <c r="B164" s="162" t="s">
        <v>13</v>
      </c>
      <c r="C164" s="164">
        <v>3</v>
      </c>
      <c r="D164" s="164">
        <v>1</v>
      </c>
      <c r="E164" s="20">
        <v>0</v>
      </c>
      <c r="F164" s="20">
        <f>SUM(D164:E164)</f>
        <v>1</v>
      </c>
      <c r="G164" s="189">
        <v>169270</v>
      </c>
      <c r="H164" s="189">
        <f t="shared" si="53"/>
        <v>21158.75</v>
      </c>
      <c r="I164" s="189">
        <v>196440</v>
      </c>
      <c r="J164" s="189">
        <f t="shared" si="54"/>
        <v>67708</v>
      </c>
      <c r="K164" s="189"/>
      <c r="L164" s="189">
        <f t="shared" si="62"/>
        <v>454576.75</v>
      </c>
    </row>
    <row r="165" spans="1:12" s="16" customFormat="1" ht="21.95" customHeight="1">
      <c r="A165" s="201">
        <v>141</v>
      </c>
      <c r="B165" s="169" t="s">
        <v>167</v>
      </c>
      <c r="C165" s="165">
        <v>3</v>
      </c>
      <c r="D165" s="164">
        <v>1</v>
      </c>
      <c r="E165" s="20">
        <v>0</v>
      </c>
      <c r="F165" s="20">
        <f t="shared" ref="F165" si="96">SUM(D165:E165)</f>
        <v>1</v>
      </c>
      <c r="G165" s="189">
        <v>245710</v>
      </c>
      <c r="H165" s="189">
        <f t="shared" si="53"/>
        <v>30713.75</v>
      </c>
      <c r="I165" s="189">
        <v>233898</v>
      </c>
      <c r="J165" s="189">
        <f t="shared" si="54"/>
        <v>98284</v>
      </c>
      <c r="K165" s="189"/>
      <c r="L165" s="189">
        <f t="shared" si="62"/>
        <v>608605.75</v>
      </c>
    </row>
    <row r="166" spans="1:12" s="16" customFormat="1" ht="21.95" customHeight="1">
      <c r="A166" s="201">
        <v>142</v>
      </c>
      <c r="B166" s="169" t="s">
        <v>167</v>
      </c>
      <c r="C166" s="165">
        <v>2</v>
      </c>
      <c r="D166" s="164">
        <v>1</v>
      </c>
      <c r="E166" s="20">
        <v>0</v>
      </c>
      <c r="F166" s="20">
        <f t="shared" si="55"/>
        <v>1</v>
      </c>
      <c r="G166" s="189">
        <v>169030</v>
      </c>
      <c r="H166" s="189">
        <f t="shared" si="53"/>
        <v>21128.75</v>
      </c>
      <c r="I166" s="189">
        <v>224916</v>
      </c>
      <c r="J166" s="189">
        <f t="shared" si="54"/>
        <v>67612</v>
      </c>
      <c r="K166" s="189"/>
      <c r="L166" s="189">
        <f t="shared" si="62"/>
        <v>482686.75</v>
      </c>
    </row>
    <row r="167" spans="1:12" s="16" customFormat="1" ht="21.95" customHeight="1">
      <c r="A167" s="201">
        <v>143</v>
      </c>
      <c r="B167" s="169" t="s">
        <v>167</v>
      </c>
      <c r="C167" s="165">
        <v>2</v>
      </c>
      <c r="D167" s="164">
        <v>1</v>
      </c>
      <c r="E167" s="20">
        <v>0</v>
      </c>
      <c r="F167" s="20">
        <f t="shared" ref="F167:F168" si="97">SUM(D167:E167)</f>
        <v>1</v>
      </c>
      <c r="G167" s="189">
        <v>245710</v>
      </c>
      <c r="H167" s="189">
        <f t="shared" si="53"/>
        <v>30713.75</v>
      </c>
      <c r="I167" s="189">
        <v>219198</v>
      </c>
      <c r="J167" s="189">
        <f t="shared" ref="J167:J168" si="98">G167*40%</f>
        <v>98284</v>
      </c>
      <c r="K167" s="189"/>
      <c r="L167" s="189">
        <f t="shared" ref="L167:L168" si="99">SUM(G167:K167)</f>
        <v>593905.75</v>
      </c>
    </row>
    <row r="168" spans="1:12" s="16" customFormat="1" ht="21.95" customHeight="1">
      <c r="A168" s="201">
        <v>144</v>
      </c>
      <c r="B168" s="169" t="s">
        <v>167</v>
      </c>
      <c r="C168" s="165">
        <v>2</v>
      </c>
      <c r="D168" s="164">
        <v>1</v>
      </c>
      <c r="E168" s="20">
        <v>0</v>
      </c>
      <c r="F168" s="20">
        <f t="shared" si="97"/>
        <v>1</v>
      </c>
      <c r="G168" s="189">
        <v>245710</v>
      </c>
      <c r="H168" s="189">
        <f t="shared" si="53"/>
        <v>30713.75</v>
      </c>
      <c r="I168" s="189">
        <v>219198</v>
      </c>
      <c r="J168" s="189">
        <f t="shared" si="98"/>
        <v>98284</v>
      </c>
      <c r="K168" s="189"/>
      <c r="L168" s="189">
        <f t="shared" si="99"/>
        <v>593905.75</v>
      </c>
    </row>
    <row r="169" spans="1:12" s="16" customFormat="1" ht="21.95" customHeight="1">
      <c r="A169" s="201">
        <v>145</v>
      </c>
      <c r="B169" s="162" t="s">
        <v>19</v>
      </c>
      <c r="C169" s="164">
        <v>2</v>
      </c>
      <c r="D169" s="164">
        <v>1</v>
      </c>
      <c r="E169" s="20">
        <v>0</v>
      </c>
      <c r="F169" s="20">
        <f>SUM(D169:E169)</f>
        <v>1</v>
      </c>
      <c r="G169" s="189">
        <v>251590</v>
      </c>
      <c r="H169" s="189">
        <f t="shared" si="53"/>
        <v>31448.75</v>
      </c>
      <c r="I169" s="189">
        <v>226152</v>
      </c>
      <c r="J169" s="189">
        <f t="shared" si="54"/>
        <v>100636</v>
      </c>
      <c r="K169" s="189"/>
      <c r="L169" s="189">
        <f t="shared" si="62"/>
        <v>609826.75</v>
      </c>
    </row>
    <row r="170" spans="1:12" s="16" customFormat="1" ht="21.95" customHeight="1">
      <c r="A170" s="201">
        <v>146</v>
      </c>
      <c r="B170" s="162" t="s">
        <v>19</v>
      </c>
      <c r="C170" s="164">
        <v>2</v>
      </c>
      <c r="D170" s="164">
        <v>1</v>
      </c>
      <c r="E170" s="20">
        <v>0</v>
      </c>
      <c r="F170" s="20">
        <f t="shared" ref="F170:F173" si="100">SUM(D170:E170)</f>
        <v>1</v>
      </c>
      <c r="G170" s="189">
        <v>245710</v>
      </c>
      <c r="H170" s="189">
        <f t="shared" si="53"/>
        <v>30713.75</v>
      </c>
      <c r="I170" s="189">
        <v>229998</v>
      </c>
      <c r="J170" s="189">
        <f t="shared" ref="J170:J173" si="101">G170*40%</f>
        <v>98284</v>
      </c>
      <c r="K170" s="189"/>
      <c r="L170" s="189">
        <f t="shared" ref="L170:L173" si="102">SUM(G170:K170)</f>
        <v>604705.75</v>
      </c>
    </row>
    <row r="171" spans="1:12" s="16" customFormat="1" ht="21.95" customHeight="1">
      <c r="A171" s="201">
        <v>147</v>
      </c>
      <c r="B171" s="162" t="s">
        <v>19</v>
      </c>
      <c r="C171" s="164">
        <v>2</v>
      </c>
      <c r="D171" s="164">
        <v>1</v>
      </c>
      <c r="E171" s="20">
        <v>0</v>
      </c>
      <c r="F171" s="20">
        <f t="shared" si="100"/>
        <v>1</v>
      </c>
      <c r="G171" s="189">
        <v>245710</v>
      </c>
      <c r="H171" s="189">
        <f t="shared" ref="H171:H233" si="103">G171*12.5%</f>
        <v>30713.75</v>
      </c>
      <c r="I171" s="189">
        <v>229998</v>
      </c>
      <c r="J171" s="189">
        <f t="shared" si="101"/>
        <v>98284</v>
      </c>
      <c r="K171" s="189"/>
      <c r="L171" s="189">
        <f t="shared" si="102"/>
        <v>604705.75</v>
      </c>
    </row>
    <row r="172" spans="1:12" s="16" customFormat="1" ht="21.95" customHeight="1">
      <c r="A172" s="201">
        <v>148</v>
      </c>
      <c r="B172" s="162" t="s">
        <v>19</v>
      </c>
      <c r="C172" s="164">
        <v>2</v>
      </c>
      <c r="D172" s="164">
        <v>1</v>
      </c>
      <c r="E172" s="20">
        <v>0</v>
      </c>
      <c r="F172" s="20">
        <f t="shared" si="100"/>
        <v>1</v>
      </c>
      <c r="G172" s="189">
        <v>181090</v>
      </c>
      <c r="H172" s="189">
        <f t="shared" si="103"/>
        <v>22636.25</v>
      </c>
      <c r="I172" s="189">
        <v>218142</v>
      </c>
      <c r="J172" s="189">
        <f t="shared" si="101"/>
        <v>72436</v>
      </c>
      <c r="K172" s="189"/>
      <c r="L172" s="189">
        <f t="shared" si="102"/>
        <v>494304.25</v>
      </c>
    </row>
    <row r="173" spans="1:12" s="16" customFormat="1" ht="21.95" customHeight="1">
      <c r="A173" s="201">
        <v>149</v>
      </c>
      <c r="B173" s="162" t="s">
        <v>19</v>
      </c>
      <c r="C173" s="164">
        <v>2</v>
      </c>
      <c r="D173" s="164">
        <v>1</v>
      </c>
      <c r="E173" s="20">
        <v>0</v>
      </c>
      <c r="F173" s="20">
        <f t="shared" si="100"/>
        <v>1</v>
      </c>
      <c r="G173" s="189">
        <v>162250</v>
      </c>
      <c r="H173" s="189">
        <f t="shared" si="103"/>
        <v>20281.25</v>
      </c>
      <c r="I173" s="189">
        <v>182982</v>
      </c>
      <c r="J173" s="189">
        <f t="shared" si="101"/>
        <v>64900</v>
      </c>
      <c r="K173" s="189">
        <f>4065*12</f>
        <v>48780</v>
      </c>
      <c r="L173" s="189">
        <f t="shared" si="102"/>
        <v>479193.25</v>
      </c>
    </row>
    <row r="174" spans="1:12" s="16" customFormat="1" ht="21.95" customHeight="1">
      <c r="A174" s="201">
        <v>150</v>
      </c>
      <c r="B174" s="169" t="s">
        <v>13</v>
      </c>
      <c r="C174" s="164">
        <v>2</v>
      </c>
      <c r="D174" s="164">
        <v>1</v>
      </c>
      <c r="E174" s="20">
        <v>0</v>
      </c>
      <c r="F174" s="20">
        <f>SUM(D174:E174)</f>
        <v>1</v>
      </c>
      <c r="G174" s="189">
        <v>165610</v>
      </c>
      <c r="H174" s="189">
        <f t="shared" si="103"/>
        <v>20701.25</v>
      </c>
      <c r="I174" s="189">
        <v>260550</v>
      </c>
      <c r="J174" s="189">
        <f t="shared" si="54"/>
        <v>66244</v>
      </c>
      <c r="K174" s="189"/>
      <c r="L174" s="189">
        <f t="shared" si="62"/>
        <v>513105.25</v>
      </c>
    </row>
    <row r="175" spans="1:12" s="16" customFormat="1" ht="21.95" customHeight="1">
      <c r="A175" s="201">
        <v>151</v>
      </c>
      <c r="B175" s="169" t="s">
        <v>167</v>
      </c>
      <c r="C175" s="165">
        <v>1</v>
      </c>
      <c r="D175" s="164">
        <v>1</v>
      </c>
      <c r="E175" s="20">
        <v>0</v>
      </c>
      <c r="F175" s="20">
        <f t="shared" ref="F175" si="104">SUM(D175:E175)</f>
        <v>1</v>
      </c>
      <c r="G175" s="189">
        <v>251590</v>
      </c>
      <c r="H175" s="189">
        <f t="shared" si="103"/>
        <v>31448.75</v>
      </c>
      <c r="I175" s="189">
        <v>236964</v>
      </c>
      <c r="J175" s="189">
        <f t="shared" si="54"/>
        <v>100636</v>
      </c>
      <c r="K175" s="189"/>
      <c r="L175" s="189">
        <f t="shared" si="62"/>
        <v>620638.75</v>
      </c>
    </row>
    <row r="176" spans="1:12" s="16" customFormat="1" ht="21.95" customHeight="1">
      <c r="A176" s="201">
        <v>152</v>
      </c>
      <c r="B176" s="169" t="s">
        <v>167</v>
      </c>
      <c r="C176" s="165">
        <v>1</v>
      </c>
      <c r="D176" s="164">
        <v>1</v>
      </c>
      <c r="E176" s="20">
        <v>0</v>
      </c>
      <c r="F176" s="20">
        <f t="shared" ref="F176:F179" si="105">SUM(D176:E176)</f>
        <v>1</v>
      </c>
      <c r="G176" s="189">
        <v>181090</v>
      </c>
      <c r="H176" s="189">
        <f t="shared" si="103"/>
        <v>22636.25</v>
      </c>
      <c r="I176" s="189">
        <v>180144</v>
      </c>
      <c r="J176" s="189">
        <f t="shared" ref="J176:J179" si="106">G176*40%</f>
        <v>72436</v>
      </c>
      <c r="K176" s="189"/>
      <c r="L176" s="189">
        <f t="shared" ref="L176:L179" si="107">SUM(G176:K176)</f>
        <v>456306.25</v>
      </c>
    </row>
    <row r="177" spans="1:12" s="16" customFormat="1" ht="21.95" customHeight="1">
      <c r="A177" s="201">
        <v>153</v>
      </c>
      <c r="B177" s="169" t="s">
        <v>167</v>
      </c>
      <c r="C177" s="165">
        <v>1</v>
      </c>
      <c r="D177" s="164">
        <v>1</v>
      </c>
      <c r="E177" s="20">
        <v>0</v>
      </c>
      <c r="F177" s="20">
        <f t="shared" si="105"/>
        <v>1</v>
      </c>
      <c r="G177" s="189">
        <v>181090</v>
      </c>
      <c r="H177" s="189">
        <f t="shared" si="103"/>
        <v>22636.25</v>
      </c>
      <c r="I177" s="189">
        <v>180144</v>
      </c>
      <c r="J177" s="189">
        <f t="shared" si="106"/>
        <v>72436</v>
      </c>
      <c r="K177" s="189"/>
      <c r="L177" s="189">
        <f t="shared" si="107"/>
        <v>456306.25</v>
      </c>
    </row>
    <row r="178" spans="1:12" s="16" customFormat="1" ht="21.95" customHeight="1">
      <c r="A178" s="201">
        <v>154</v>
      </c>
      <c r="B178" s="169" t="s">
        <v>167</v>
      </c>
      <c r="C178" s="165">
        <v>1</v>
      </c>
      <c r="D178" s="164">
        <v>1</v>
      </c>
      <c r="E178" s="20">
        <v>0</v>
      </c>
      <c r="F178" s="20">
        <f t="shared" si="105"/>
        <v>1</v>
      </c>
      <c r="G178" s="189">
        <v>165610</v>
      </c>
      <c r="H178" s="189">
        <f t="shared" si="103"/>
        <v>20701.25</v>
      </c>
      <c r="I178" s="189">
        <v>188550</v>
      </c>
      <c r="J178" s="189">
        <f t="shared" si="106"/>
        <v>66244</v>
      </c>
      <c r="K178" s="189"/>
      <c r="L178" s="189">
        <f t="shared" si="107"/>
        <v>441105.25</v>
      </c>
    </row>
    <row r="179" spans="1:12" s="16" customFormat="1" ht="21.95" customHeight="1">
      <c r="A179" s="201">
        <v>155</v>
      </c>
      <c r="B179" s="169" t="s">
        <v>167</v>
      </c>
      <c r="C179" s="165">
        <v>1</v>
      </c>
      <c r="D179" s="164">
        <v>1</v>
      </c>
      <c r="E179" s="20">
        <v>0</v>
      </c>
      <c r="F179" s="20">
        <f t="shared" si="105"/>
        <v>1</v>
      </c>
      <c r="G179" s="189">
        <v>165610</v>
      </c>
      <c r="H179" s="189">
        <f t="shared" si="103"/>
        <v>20701.25</v>
      </c>
      <c r="I179" s="189">
        <v>188910</v>
      </c>
      <c r="J179" s="189">
        <f t="shared" si="106"/>
        <v>66244</v>
      </c>
      <c r="K179" s="189">
        <f>4065*12</f>
        <v>48780</v>
      </c>
      <c r="L179" s="189">
        <f t="shared" si="107"/>
        <v>490245.25</v>
      </c>
    </row>
    <row r="180" spans="1:12" s="16" customFormat="1" ht="21.95" customHeight="1">
      <c r="A180" s="201">
        <v>156</v>
      </c>
      <c r="B180" s="162" t="s">
        <v>236</v>
      </c>
      <c r="C180" s="165">
        <v>1</v>
      </c>
      <c r="D180" s="164">
        <v>1</v>
      </c>
      <c r="E180" s="20">
        <v>0</v>
      </c>
      <c r="F180" s="20">
        <v>1</v>
      </c>
      <c r="G180" s="189">
        <v>165610</v>
      </c>
      <c r="H180" s="189">
        <f t="shared" si="103"/>
        <v>20701.25</v>
      </c>
      <c r="I180" s="189">
        <v>186918</v>
      </c>
      <c r="J180" s="189">
        <f t="shared" si="54"/>
        <v>66244</v>
      </c>
      <c r="K180" s="189"/>
      <c r="L180" s="189">
        <f t="shared" si="62"/>
        <v>439473.25</v>
      </c>
    </row>
    <row r="181" spans="1:12" s="16" customFormat="1" ht="21.95" customHeight="1">
      <c r="A181" s="201">
        <v>157</v>
      </c>
      <c r="B181" s="162" t="s">
        <v>177</v>
      </c>
      <c r="C181" s="164">
        <v>1</v>
      </c>
      <c r="D181" s="164">
        <v>1</v>
      </c>
      <c r="E181" s="20">
        <v>0</v>
      </c>
      <c r="F181" s="20">
        <f t="shared" ref="F181:F214" si="108">SUM(D181:E181)</f>
        <v>1</v>
      </c>
      <c r="G181" s="189">
        <v>186250</v>
      </c>
      <c r="H181" s="189">
        <f t="shared" si="103"/>
        <v>23281.25</v>
      </c>
      <c r="I181" s="189">
        <v>214302</v>
      </c>
      <c r="J181" s="189">
        <f t="shared" si="54"/>
        <v>74500</v>
      </c>
      <c r="K181" s="189"/>
      <c r="L181" s="189">
        <f t="shared" si="62"/>
        <v>498333.25</v>
      </c>
    </row>
    <row r="182" spans="1:12" s="16" customFormat="1" ht="21.95" customHeight="1">
      <c r="A182" s="201">
        <v>158</v>
      </c>
      <c r="B182" s="162" t="s">
        <v>177</v>
      </c>
      <c r="C182" s="164">
        <v>1</v>
      </c>
      <c r="D182" s="164">
        <v>1</v>
      </c>
      <c r="E182" s="20">
        <v>0</v>
      </c>
      <c r="F182" s="20">
        <f t="shared" ref="F182:F188" si="109">SUM(D182:E182)</f>
        <v>1</v>
      </c>
      <c r="G182" s="189">
        <v>165610</v>
      </c>
      <c r="H182" s="189">
        <f t="shared" si="103"/>
        <v>20701.25</v>
      </c>
      <c r="I182" s="189">
        <v>188910</v>
      </c>
      <c r="J182" s="189">
        <f t="shared" ref="J182:J188" si="110">G182*40%</f>
        <v>66244</v>
      </c>
      <c r="K182" s="189"/>
      <c r="L182" s="189">
        <f t="shared" ref="L182:L188" si="111">SUM(G182:K182)</f>
        <v>441465.25</v>
      </c>
    </row>
    <row r="183" spans="1:12" s="16" customFormat="1" ht="21.95" customHeight="1">
      <c r="A183" s="201">
        <v>159</v>
      </c>
      <c r="B183" s="162" t="s">
        <v>177</v>
      </c>
      <c r="C183" s="164">
        <v>1</v>
      </c>
      <c r="D183" s="164">
        <v>1</v>
      </c>
      <c r="E183" s="20">
        <v>0</v>
      </c>
      <c r="F183" s="20">
        <f t="shared" si="109"/>
        <v>1</v>
      </c>
      <c r="G183" s="189">
        <v>165610</v>
      </c>
      <c r="H183" s="189">
        <f t="shared" si="103"/>
        <v>20701.25</v>
      </c>
      <c r="I183" s="189">
        <v>188910</v>
      </c>
      <c r="J183" s="189">
        <f t="shared" si="110"/>
        <v>66244</v>
      </c>
      <c r="K183" s="189"/>
      <c r="L183" s="189">
        <f t="shared" si="111"/>
        <v>441465.25</v>
      </c>
    </row>
    <row r="184" spans="1:12" s="16" customFormat="1" ht="21.95" customHeight="1">
      <c r="A184" s="201">
        <v>160</v>
      </c>
      <c r="B184" s="162" t="s">
        <v>177</v>
      </c>
      <c r="C184" s="164">
        <v>1</v>
      </c>
      <c r="D184" s="164">
        <v>1</v>
      </c>
      <c r="E184" s="20">
        <v>0</v>
      </c>
      <c r="F184" s="20">
        <f t="shared" si="109"/>
        <v>1</v>
      </c>
      <c r="G184" s="189">
        <v>165610</v>
      </c>
      <c r="H184" s="189">
        <f t="shared" si="103"/>
        <v>20701.25</v>
      </c>
      <c r="I184" s="189">
        <v>188910</v>
      </c>
      <c r="J184" s="189">
        <f t="shared" si="110"/>
        <v>66244</v>
      </c>
      <c r="K184" s="189"/>
      <c r="L184" s="189">
        <f t="shared" si="111"/>
        <v>441465.25</v>
      </c>
    </row>
    <row r="185" spans="1:12" s="16" customFormat="1" ht="21.95" customHeight="1">
      <c r="A185" s="201">
        <v>161</v>
      </c>
      <c r="B185" s="162" t="s">
        <v>177</v>
      </c>
      <c r="C185" s="164">
        <v>1</v>
      </c>
      <c r="D185" s="164">
        <v>1</v>
      </c>
      <c r="E185" s="20">
        <v>0</v>
      </c>
      <c r="F185" s="20">
        <f t="shared" si="109"/>
        <v>1</v>
      </c>
      <c r="G185" s="189">
        <v>165610</v>
      </c>
      <c r="H185" s="189">
        <f t="shared" si="103"/>
        <v>20701.25</v>
      </c>
      <c r="I185" s="189">
        <v>188910</v>
      </c>
      <c r="J185" s="189">
        <f t="shared" si="110"/>
        <v>66244</v>
      </c>
      <c r="K185" s="189"/>
      <c r="L185" s="189">
        <f t="shared" si="111"/>
        <v>441465.25</v>
      </c>
    </row>
    <row r="186" spans="1:12" s="16" customFormat="1" ht="21.95" customHeight="1">
      <c r="A186" s="201">
        <v>162</v>
      </c>
      <c r="B186" s="162" t="s">
        <v>177</v>
      </c>
      <c r="C186" s="164">
        <v>1</v>
      </c>
      <c r="D186" s="164">
        <v>1</v>
      </c>
      <c r="E186" s="20">
        <v>0</v>
      </c>
      <c r="F186" s="20">
        <f t="shared" si="109"/>
        <v>1</v>
      </c>
      <c r="G186" s="189">
        <v>165610</v>
      </c>
      <c r="H186" s="189">
        <f t="shared" si="103"/>
        <v>20701.25</v>
      </c>
      <c r="I186" s="189">
        <v>188910</v>
      </c>
      <c r="J186" s="189">
        <f t="shared" si="110"/>
        <v>66244</v>
      </c>
      <c r="K186" s="189"/>
      <c r="L186" s="189">
        <f t="shared" si="111"/>
        <v>441465.25</v>
      </c>
    </row>
    <row r="187" spans="1:12" s="16" customFormat="1" ht="21.95" customHeight="1">
      <c r="A187" s="201">
        <v>163</v>
      </c>
      <c r="B187" s="162" t="s">
        <v>177</v>
      </c>
      <c r="C187" s="164">
        <v>1</v>
      </c>
      <c r="D187" s="164">
        <v>1</v>
      </c>
      <c r="E187" s="20">
        <v>0</v>
      </c>
      <c r="F187" s="20">
        <f t="shared" si="109"/>
        <v>1</v>
      </c>
      <c r="G187" s="189">
        <v>165610</v>
      </c>
      <c r="H187" s="189">
        <f t="shared" si="103"/>
        <v>20701.25</v>
      </c>
      <c r="I187" s="189">
        <v>188910</v>
      </c>
      <c r="J187" s="189">
        <f t="shared" si="110"/>
        <v>66244</v>
      </c>
      <c r="K187" s="189"/>
      <c r="L187" s="189">
        <f t="shared" si="111"/>
        <v>441465.25</v>
      </c>
    </row>
    <row r="188" spans="1:12" s="16" customFormat="1" ht="21.95" customHeight="1">
      <c r="A188" s="201">
        <v>164</v>
      </c>
      <c r="B188" s="162" t="s">
        <v>177</v>
      </c>
      <c r="C188" s="164">
        <v>1</v>
      </c>
      <c r="D188" s="164">
        <v>1</v>
      </c>
      <c r="E188" s="20">
        <v>0</v>
      </c>
      <c r="F188" s="20">
        <f t="shared" si="109"/>
        <v>1</v>
      </c>
      <c r="G188" s="189">
        <v>165610</v>
      </c>
      <c r="H188" s="189">
        <f t="shared" si="103"/>
        <v>20701.25</v>
      </c>
      <c r="I188" s="189">
        <v>188910</v>
      </c>
      <c r="J188" s="189">
        <f t="shared" si="110"/>
        <v>66244</v>
      </c>
      <c r="K188" s="189"/>
      <c r="L188" s="189">
        <f t="shared" si="111"/>
        <v>441465.25</v>
      </c>
    </row>
    <row r="189" spans="1:12" s="16" customFormat="1" ht="29.25" customHeight="1">
      <c r="A189" s="201">
        <v>165</v>
      </c>
      <c r="B189" s="162" t="s">
        <v>200</v>
      </c>
      <c r="C189" s="164">
        <v>1</v>
      </c>
      <c r="D189" s="164">
        <v>1</v>
      </c>
      <c r="E189" s="20">
        <v>0</v>
      </c>
      <c r="F189" s="20">
        <f t="shared" si="108"/>
        <v>1</v>
      </c>
      <c r="G189" s="189">
        <v>165610</v>
      </c>
      <c r="H189" s="189">
        <f t="shared" si="103"/>
        <v>20701.25</v>
      </c>
      <c r="I189" s="189">
        <v>188910</v>
      </c>
      <c r="J189" s="189">
        <f t="shared" si="54"/>
        <v>66244</v>
      </c>
      <c r="K189" s="189"/>
      <c r="L189" s="189">
        <f t="shared" si="62"/>
        <v>441465.25</v>
      </c>
    </row>
    <row r="190" spans="1:12" s="16" customFormat="1" ht="28.5" customHeight="1">
      <c r="A190" s="201">
        <v>166</v>
      </c>
      <c r="B190" s="169" t="s">
        <v>13</v>
      </c>
      <c r="C190" s="165">
        <v>1</v>
      </c>
      <c r="D190" s="164">
        <v>1</v>
      </c>
      <c r="E190" s="20">
        <v>0</v>
      </c>
      <c r="F190" s="20">
        <f t="shared" si="108"/>
        <v>1</v>
      </c>
      <c r="G190" s="189">
        <v>186250</v>
      </c>
      <c r="H190" s="189">
        <f t="shared" si="103"/>
        <v>23281.25</v>
      </c>
      <c r="I190" s="189">
        <v>215782</v>
      </c>
      <c r="J190" s="189">
        <f t="shared" si="54"/>
        <v>74500</v>
      </c>
      <c r="K190" s="189"/>
      <c r="L190" s="189">
        <f t="shared" si="62"/>
        <v>499813.25</v>
      </c>
    </row>
    <row r="191" spans="1:12" s="16" customFormat="1" ht="28.5" customHeight="1">
      <c r="A191" s="201">
        <v>167</v>
      </c>
      <c r="B191" s="169" t="s">
        <v>13</v>
      </c>
      <c r="C191" s="165">
        <v>1</v>
      </c>
      <c r="D191" s="164">
        <v>1</v>
      </c>
      <c r="E191" s="20">
        <v>0</v>
      </c>
      <c r="F191" s="20">
        <f t="shared" ref="F191:F194" si="112">SUM(D191:E191)</f>
        <v>1</v>
      </c>
      <c r="G191" s="189">
        <v>181090</v>
      </c>
      <c r="H191" s="189">
        <f t="shared" si="103"/>
        <v>22636.25</v>
      </c>
      <c r="I191" s="189">
        <v>190944</v>
      </c>
      <c r="J191" s="189">
        <f t="shared" ref="J191:J194" si="113">G191*40%</f>
        <v>72436</v>
      </c>
      <c r="K191" s="189"/>
      <c r="L191" s="189">
        <f t="shared" ref="L191:L194" si="114">SUM(G191:K191)</f>
        <v>467106.25</v>
      </c>
    </row>
    <row r="192" spans="1:12" s="16" customFormat="1" ht="28.5" customHeight="1">
      <c r="A192" s="201">
        <v>168</v>
      </c>
      <c r="B192" s="169" t="s">
        <v>13</v>
      </c>
      <c r="C192" s="165">
        <v>1</v>
      </c>
      <c r="D192" s="164">
        <v>1</v>
      </c>
      <c r="E192" s="20">
        <v>0</v>
      </c>
      <c r="F192" s="20">
        <f t="shared" si="112"/>
        <v>1</v>
      </c>
      <c r="G192" s="189">
        <v>165610</v>
      </c>
      <c r="H192" s="189">
        <f t="shared" si="103"/>
        <v>20701.25</v>
      </c>
      <c r="I192" s="189">
        <v>185526</v>
      </c>
      <c r="J192" s="189">
        <f t="shared" si="113"/>
        <v>66244</v>
      </c>
      <c r="K192" s="189"/>
      <c r="L192" s="189">
        <f t="shared" si="114"/>
        <v>438081.25</v>
      </c>
    </row>
    <row r="193" spans="1:12" s="16" customFormat="1" ht="28.5" customHeight="1">
      <c r="A193" s="201">
        <v>169</v>
      </c>
      <c r="B193" s="169" t="s">
        <v>13</v>
      </c>
      <c r="C193" s="165">
        <v>1</v>
      </c>
      <c r="D193" s="164">
        <v>1</v>
      </c>
      <c r="E193" s="20">
        <v>0</v>
      </c>
      <c r="F193" s="20">
        <f t="shared" si="112"/>
        <v>1</v>
      </c>
      <c r="G193" s="189">
        <v>165610</v>
      </c>
      <c r="H193" s="189">
        <f t="shared" si="103"/>
        <v>20701.25</v>
      </c>
      <c r="I193" s="189">
        <v>185526</v>
      </c>
      <c r="J193" s="189">
        <f t="shared" si="113"/>
        <v>66244</v>
      </c>
      <c r="K193" s="189"/>
      <c r="L193" s="189">
        <f t="shared" si="114"/>
        <v>438081.25</v>
      </c>
    </row>
    <row r="194" spans="1:12" s="16" customFormat="1" ht="28.5" customHeight="1">
      <c r="A194" s="201">
        <v>170</v>
      </c>
      <c r="B194" s="169" t="s">
        <v>13</v>
      </c>
      <c r="C194" s="165">
        <v>1</v>
      </c>
      <c r="D194" s="164">
        <v>1</v>
      </c>
      <c r="E194" s="20">
        <v>0</v>
      </c>
      <c r="F194" s="20">
        <f t="shared" si="112"/>
        <v>1</v>
      </c>
      <c r="G194" s="189">
        <v>165610</v>
      </c>
      <c r="H194" s="189">
        <f t="shared" si="103"/>
        <v>20701.25</v>
      </c>
      <c r="I194" s="189">
        <v>185526</v>
      </c>
      <c r="J194" s="189">
        <f t="shared" si="113"/>
        <v>66244</v>
      </c>
      <c r="K194" s="189"/>
      <c r="L194" s="189">
        <f t="shared" si="114"/>
        <v>438081.25</v>
      </c>
    </row>
    <row r="195" spans="1:12" s="16" customFormat="1" ht="21.95" customHeight="1">
      <c r="A195" s="201">
        <v>171</v>
      </c>
      <c r="B195" s="162" t="s">
        <v>20</v>
      </c>
      <c r="C195" s="164" t="s">
        <v>182</v>
      </c>
      <c r="D195" s="164">
        <v>1</v>
      </c>
      <c r="E195" s="20">
        <v>0</v>
      </c>
      <c r="F195" s="20">
        <f t="shared" si="108"/>
        <v>1</v>
      </c>
      <c r="G195" s="189">
        <v>165610</v>
      </c>
      <c r="H195" s="189">
        <f t="shared" si="103"/>
        <v>20701.25</v>
      </c>
      <c r="I195" s="189">
        <v>185526</v>
      </c>
      <c r="J195" s="189">
        <f t="shared" si="54"/>
        <v>66244</v>
      </c>
      <c r="K195" s="189"/>
      <c r="L195" s="189">
        <f t="shared" si="62"/>
        <v>438081.25</v>
      </c>
    </row>
    <row r="196" spans="1:12" s="16" customFormat="1" ht="21.95" customHeight="1">
      <c r="A196" s="201">
        <v>172</v>
      </c>
      <c r="B196" s="162" t="s">
        <v>20</v>
      </c>
      <c r="C196" s="164" t="s">
        <v>182</v>
      </c>
      <c r="D196" s="164">
        <v>1</v>
      </c>
      <c r="E196" s="20">
        <v>0</v>
      </c>
      <c r="F196" s="20">
        <f t="shared" ref="F196" si="115">SUM(D196:E196)</f>
        <v>1</v>
      </c>
      <c r="G196" s="189">
        <v>431010</v>
      </c>
      <c r="H196" s="189">
        <f t="shared" si="103"/>
        <v>53876.25</v>
      </c>
      <c r="I196" s="189">
        <v>232446</v>
      </c>
      <c r="J196" s="189">
        <f t="shared" ref="J196" si="116">G196*40%</f>
        <v>172404</v>
      </c>
      <c r="K196" s="189"/>
      <c r="L196" s="189">
        <f t="shared" ref="L196" si="117">SUM(G196:K196)</f>
        <v>889736.25</v>
      </c>
    </row>
    <row r="197" spans="1:12" s="16" customFormat="1" ht="21.95" customHeight="1">
      <c r="A197" s="201">
        <v>173</v>
      </c>
      <c r="B197" s="162" t="s">
        <v>20</v>
      </c>
      <c r="C197" s="164" t="s">
        <v>183</v>
      </c>
      <c r="D197" s="164">
        <v>1</v>
      </c>
      <c r="E197" s="20">
        <v>0</v>
      </c>
      <c r="F197" s="20">
        <f t="shared" si="108"/>
        <v>1</v>
      </c>
      <c r="G197" s="189">
        <v>431010</v>
      </c>
      <c r="H197" s="189">
        <f t="shared" si="103"/>
        <v>53876.25</v>
      </c>
      <c r="I197" s="189">
        <v>327702</v>
      </c>
      <c r="J197" s="189">
        <f t="shared" si="54"/>
        <v>172404</v>
      </c>
      <c r="K197" s="189"/>
      <c r="L197" s="189">
        <f t="shared" si="62"/>
        <v>984992.25</v>
      </c>
    </row>
    <row r="198" spans="1:12" s="16" customFormat="1" ht="21.95" customHeight="1">
      <c r="A198" s="201">
        <v>174</v>
      </c>
      <c r="B198" s="162" t="s">
        <v>20</v>
      </c>
      <c r="C198" s="164" t="s">
        <v>183</v>
      </c>
      <c r="D198" s="164">
        <v>1</v>
      </c>
      <c r="E198" s="20">
        <v>0</v>
      </c>
      <c r="F198" s="20">
        <f t="shared" ref="F198:F210" si="118">SUM(D198:E198)</f>
        <v>1</v>
      </c>
      <c r="G198" s="189">
        <v>410580</v>
      </c>
      <c r="H198" s="189">
        <f t="shared" si="103"/>
        <v>51322.5</v>
      </c>
      <c r="I198" s="189">
        <v>323850</v>
      </c>
      <c r="J198" s="189">
        <f t="shared" ref="J198:J210" si="119">G198*40%</f>
        <v>164232</v>
      </c>
      <c r="K198" s="189"/>
      <c r="L198" s="189">
        <f t="shared" ref="L198:L210" si="120">SUM(G198:K198)</f>
        <v>949984.5</v>
      </c>
    </row>
    <row r="199" spans="1:12" s="16" customFormat="1" ht="21.95" customHeight="1">
      <c r="A199" s="201">
        <v>175</v>
      </c>
      <c r="B199" s="162" t="s">
        <v>20</v>
      </c>
      <c r="C199" s="164" t="s">
        <v>183</v>
      </c>
      <c r="D199" s="164">
        <v>1</v>
      </c>
      <c r="E199" s="20">
        <v>0</v>
      </c>
      <c r="F199" s="20">
        <f t="shared" si="118"/>
        <v>1</v>
      </c>
      <c r="G199" s="189">
        <v>394740</v>
      </c>
      <c r="H199" s="189">
        <f t="shared" si="103"/>
        <v>49342.5</v>
      </c>
      <c r="I199" s="189">
        <v>315138</v>
      </c>
      <c r="J199" s="189">
        <f t="shared" si="119"/>
        <v>157896</v>
      </c>
      <c r="K199" s="189"/>
      <c r="L199" s="189">
        <f t="shared" si="120"/>
        <v>917116.5</v>
      </c>
    </row>
    <row r="200" spans="1:12" s="16" customFormat="1" ht="21.95" customHeight="1">
      <c r="A200" s="201">
        <v>176</v>
      </c>
      <c r="B200" s="162" t="s">
        <v>20</v>
      </c>
      <c r="C200" s="164" t="s">
        <v>183</v>
      </c>
      <c r="D200" s="164">
        <v>1</v>
      </c>
      <c r="E200" s="20">
        <v>0</v>
      </c>
      <c r="F200" s="20">
        <f t="shared" si="118"/>
        <v>1</v>
      </c>
      <c r="G200" s="189">
        <v>394740</v>
      </c>
      <c r="H200" s="189">
        <f t="shared" si="103"/>
        <v>49342.5</v>
      </c>
      <c r="I200" s="189">
        <v>315138</v>
      </c>
      <c r="J200" s="189">
        <f t="shared" si="119"/>
        <v>157896</v>
      </c>
      <c r="K200" s="189"/>
      <c r="L200" s="189">
        <f t="shared" si="120"/>
        <v>917116.5</v>
      </c>
    </row>
    <row r="201" spans="1:12" s="16" customFormat="1" ht="21.95" customHeight="1">
      <c r="A201" s="201">
        <v>177</v>
      </c>
      <c r="B201" s="162" t="s">
        <v>20</v>
      </c>
      <c r="C201" s="164" t="s">
        <v>183</v>
      </c>
      <c r="D201" s="164">
        <v>1</v>
      </c>
      <c r="E201" s="20">
        <v>0</v>
      </c>
      <c r="F201" s="20">
        <f t="shared" si="118"/>
        <v>1</v>
      </c>
      <c r="G201" s="189">
        <v>394740</v>
      </c>
      <c r="H201" s="189">
        <f t="shared" si="103"/>
        <v>49342.5</v>
      </c>
      <c r="I201" s="189">
        <v>315138</v>
      </c>
      <c r="J201" s="189">
        <f t="shared" si="119"/>
        <v>157896</v>
      </c>
      <c r="K201" s="189"/>
      <c r="L201" s="189">
        <f t="shared" si="120"/>
        <v>917116.5</v>
      </c>
    </row>
    <row r="202" spans="1:12" s="16" customFormat="1" ht="21.95" customHeight="1">
      <c r="A202" s="201">
        <v>178</v>
      </c>
      <c r="B202" s="162" t="s">
        <v>20</v>
      </c>
      <c r="C202" s="164" t="s">
        <v>183</v>
      </c>
      <c r="D202" s="164">
        <v>1</v>
      </c>
      <c r="E202" s="20">
        <v>0</v>
      </c>
      <c r="F202" s="20">
        <f t="shared" si="118"/>
        <v>1</v>
      </c>
      <c r="G202" s="189">
        <v>378900</v>
      </c>
      <c r="H202" s="189">
        <f t="shared" si="103"/>
        <v>47362.5</v>
      </c>
      <c r="I202" s="189">
        <v>306426</v>
      </c>
      <c r="J202" s="189">
        <f t="shared" si="119"/>
        <v>151560</v>
      </c>
      <c r="K202" s="189"/>
      <c r="L202" s="189">
        <f t="shared" si="120"/>
        <v>884248.5</v>
      </c>
    </row>
    <row r="203" spans="1:12" s="16" customFormat="1" ht="21.95" customHeight="1">
      <c r="A203" s="201">
        <v>179</v>
      </c>
      <c r="B203" s="162" t="s">
        <v>20</v>
      </c>
      <c r="C203" s="164" t="s">
        <v>183</v>
      </c>
      <c r="D203" s="164">
        <v>1</v>
      </c>
      <c r="E203" s="20">
        <v>0</v>
      </c>
      <c r="F203" s="20">
        <f t="shared" si="118"/>
        <v>1</v>
      </c>
      <c r="G203" s="189">
        <v>370980</v>
      </c>
      <c r="H203" s="189">
        <f t="shared" si="103"/>
        <v>46372.5</v>
      </c>
      <c r="I203" s="189">
        <v>302070</v>
      </c>
      <c r="J203" s="189">
        <f t="shared" si="119"/>
        <v>148392</v>
      </c>
      <c r="K203" s="189"/>
      <c r="L203" s="189">
        <f t="shared" si="120"/>
        <v>867814.5</v>
      </c>
    </row>
    <row r="204" spans="1:12" s="16" customFormat="1" ht="21.95" customHeight="1">
      <c r="A204" s="201">
        <v>180</v>
      </c>
      <c r="B204" s="162" t="s">
        <v>20</v>
      </c>
      <c r="C204" s="164" t="s">
        <v>183</v>
      </c>
      <c r="D204" s="164">
        <v>1</v>
      </c>
      <c r="E204" s="20">
        <v>0</v>
      </c>
      <c r="F204" s="20">
        <f t="shared" si="118"/>
        <v>1</v>
      </c>
      <c r="G204" s="189">
        <v>370980</v>
      </c>
      <c r="H204" s="189">
        <f t="shared" si="103"/>
        <v>46372.5</v>
      </c>
      <c r="I204" s="189">
        <v>302060</v>
      </c>
      <c r="J204" s="189">
        <f t="shared" si="119"/>
        <v>148392</v>
      </c>
      <c r="K204" s="189"/>
      <c r="L204" s="189">
        <f t="shared" si="120"/>
        <v>867804.5</v>
      </c>
    </row>
    <row r="205" spans="1:12" s="16" customFormat="1" ht="21.95" customHeight="1">
      <c r="A205" s="201">
        <v>181</v>
      </c>
      <c r="B205" s="162" t="s">
        <v>20</v>
      </c>
      <c r="C205" s="164" t="s">
        <v>183</v>
      </c>
      <c r="D205" s="164">
        <v>1</v>
      </c>
      <c r="E205" s="20">
        <v>0</v>
      </c>
      <c r="F205" s="20">
        <f t="shared" si="118"/>
        <v>1</v>
      </c>
      <c r="G205" s="189">
        <v>370980</v>
      </c>
      <c r="H205" s="189">
        <f t="shared" si="103"/>
        <v>46372.5</v>
      </c>
      <c r="I205" s="189">
        <v>302060</v>
      </c>
      <c r="J205" s="189">
        <f t="shared" si="119"/>
        <v>148392</v>
      </c>
      <c r="K205" s="189"/>
      <c r="L205" s="189">
        <f t="shared" si="120"/>
        <v>867804.5</v>
      </c>
    </row>
    <row r="206" spans="1:12" s="16" customFormat="1" ht="21.95" customHeight="1">
      <c r="A206" s="201">
        <v>182</v>
      </c>
      <c r="B206" s="162" t="s">
        <v>20</v>
      </c>
      <c r="C206" s="164" t="s">
        <v>183</v>
      </c>
      <c r="D206" s="164">
        <v>1</v>
      </c>
      <c r="E206" s="20">
        <v>0</v>
      </c>
      <c r="F206" s="20">
        <f t="shared" si="118"/>
        <v>1</v>
      </c>
      <c r="G206" s="189">
        <v>370980</v>
      </c>
      <c r="H206" s="189">
        <f t="shared" si="103"/>
        <v>46372.5</v>
      </c>
      <c r="I206" s="189">
        <v>302060</v>
      </c>
      <c r="J206" s="189">
        <f t="shared" si="119"/>
        <v>148392</v>
      </c>
      <c r="K206" s="189"/>
      <c r="L206" s="189">
        <f t="shared" si="120"/>
        <v>867804.5</v>
      </c>
    </row>
    <row r="207" spans="1:12" s="16" customFormat="1" ht="21.95" customHeight="1">
      <c r="A207" s="201">
        <v>183</v>
      </c>
      <c r="B207" s="162" t="s">
        <v>20</v>
      </c>
      <c r="C207" s="164" t="s">
        <v>183</v>
      </c>
      <c r="D207" s="164">
        <v>1</v>
      </c>
      <c r="E207" s="20">
        <v>0</v>
      </c>
      <c r="F207" s="20">
        <f t="shared" si="118"/>
        <v>1</v>
      </c>
      <c r="G207" s="189">
        <v>370980</v>
      </c>
      <c r="H207" s="189">
        <f t="shared" si="103"/>
        <v>46372.5</v>
      </c>
      <c r="I207" s="189">
        <v>302060</v>
      </c>
      <c r="J207" s="189">
        <f t="shared" si="119"/>
        <v>148392</v>
      </c>
      <c r="K207" s="189"/>
      <c r="L207" s="189">
        <f t="shared" si="120"/>
        <v>867804.5</v>
      </c>
    </row>
    <row r="208" spans="1:12" s="16" customFormat="1" ht="21.95" customHeight="1">
      <c r="A208" s="201">
        <v>184</v>
      </c>
      <c r="B208" s="162" t="s">
        <v>20</v>
      </c>
      <c r="C208" s="164" t="s">
        <v>183</v>
      </c>
      <c r="D208" s="164">
        <v>1</v>
      </c>
      <c r="E208" s="20">
        <v>0</v>
      </c>
      <c r="F208" s="20">
        <f t="shared" si="118"/>
        <v>1</v>
      </c>
      <c r="G208" s="189">
        <v>370980</v>
      </c>
      <c r="H208" s="189">
        <f t="shared" si="103"/>
        <v>46372.5</v>
      </c>
      <c r="I208" s="189">
        <v>302060</v>
      </c>
      <c r="J208" s="189">
        <f t="shared" si="119"/>
        <v>148392</v>
      </c>
      <c r="K208" s="189"/>
      <c r="L208" s="189">
        <f t="shared" si="120"/>
        <v>867804.5</v>
      </c>
    </row>
    <row r="209" spans="1:12" s="16" customFormat="1" ht="21.95" customHeight="1">
      <c r="A209" s="201">
        <v>185</v>
      </c>
      <c r="B209" s="162" t="s">
        <v>20</v>
      </c>
      <c r="C209" s="164" t="s">
        <v>183</v>
      </c>
      <c r="D209" s="164">
        <v>1</v>
      </c>
      <c r="E209" s="20">
        <v>0</v>
      </c>
      <c r="F209" s="20">
        <f t="shared" si="118"/>
        <v>1</v>
      </c>
      <c r="G209" s="189">
        <v>370980</v>
      </c>
      <c r="H209" s="189">
        <f t="shared" si="103"/>
        <v>46372.5</v>
      </c>
      <c r="I209" s="189">
        <v>302060</v>
      </c>
      <c r="J209" s="189">
        <f t="shared" si="119"/>
        <v>148392</v>
      </c>
      <c r="K209" s="189"/>
      <c r="L209" s="189">
        <f t="shared" si="120"/>
        <v>867804.5</v>
      </c>
    </row>
    <row r="210" spans="1:12" s="16" customFormat="1" ht="21.95" customHeight="1">
      <c r="A210" s="201">
        <v>186</v>
      </c>
      <c r="B210" s="162" t="s">
        <v>20</v>
      </c>
      <c r="C210" s="164" t="s">
        <v>183</v>
      </c>
      <c r="D210" s="164">
        <v>1</v>
      </c>
      <c r="E210" s="20">
        <v>0</v>
      </c>
      <c r="F210" s="20">
        <f t="shared" si="118"/>
        <v>1</v>
      </c>
      <c r="G210" s="189">
        <v>363060</v>
      </c>
      <c r="H210" s="189">
        <f t="shared" si="103"/>
        <v>45382.5</v>
      </c>
      <c r="I210" s="189">
        <v>351714</v>
      </c>
      <c r="J210" s="189">
        <f t="shared" si="119"/>
        <v>145224</v>
      </c>
      <c r="K210" s="189"/>
      <c r="L210" s="189">
        <f t="shared" si="120"/>
        <v>905380.5</v>
      </c>
    </row>
    <row r="211" spans="1:12" s="16" customFormat="1" ht="21.95" customHeight="1">
      <c r="A211" s="201">
        <v>187</v>
      </c>
      <c r="B211" s="162" t="s">
        <v>20</v>
      </c>
      <c r="C211" s="164" t="s">
        <v>191</v>
      </c>
      <c r="D211" s="164">
        <v>1</v>
      </c>
      <c r="E211" s="20">
        <v>0</v>
      </c>
      <c r="F211" s="20">
        <f t="shared" si="108"/>
        <v>1</v>
      </c>
      <c r="G211" s="189">
        <v>363060</v>
      </c>
      <c r="H211" s="189">
        <f t="shared" si="103"/>
        <v>45382.5</v>
      </c>
      <c r="I211" s="189">
        <v>351714</v>
      </c>
      <c r="J211" s="189">
        <f t="shared" si="54"/>
        <v>145224</v>
      </c>
      <c r="K211" s="189"/>
      <c r="L211" s="189">
        <f t="shared" si="62"/>
        <v>905380.5</v>
      </c>
    </row>
    <row r="212" spans="1:12" s="16" customFormat="1" ht="21.95" customHeight="1">
      <c r="A212" s="201">
        <v>188</v>
      </c>
      <c r="B212" s="162" t="s">
        <v>20</v>
      </c>
      <c r="C212" s="164" t="s">
        <v>191</v>
      </c>
      <c r="D212" s="164">
        <v>1</v>
      </c>
      <c r="E212" s="20">
        <v>0</v>
      </c>
      <c r="F212" s="20">
        <f t="shared" ref="F212:F213" si="121">SUM(D212:E212)</f>
        <v>1</v>
      </c>
      <c r="G212" s="189">
        <v>342220</v>
      </c>
      <c r="H212" s="189">
        <f t="shared" si="103"/>
        <v>42777.5</v>
      </c>
      <c r="I212" s="189">
        <v>285108</v>
      </c>
      <c r="J212" s="189">
        <f t="shared" ref="J212:J213" si="122">G212*40%</f>
        <v>136888</v>
      </c>
      <c r="K212" s="189"/>
      <c r="L212" s="189">
        <f t="shared" ref="L212:L213" si="123">SUM(G212:K212)</f>
        <v>806993.5</v>
      </c>
    </row>
    <row r="213" spans="1:12" s="16" customFormat="1" ht="21.95" customHeight="1">
      <c r="A213" s="201">
        <v>189</v>
      </c>
      <c r="B213" s="162" t="s">
        <v>20</v>
      </c>
      <c r="C213" s="164" t="s">
        <v>191</v>
      </c>
      <c r="D213" s="164">
        <v>1</v>
      </c>
      <c r="E213" s="20">
        <v>0</v>
      </c>
      <c r="F213" s="20">
        <f t="shared" si="121"/>
        <v>1</v>
      </c>
      <c r="G213" s="189">
        <v>335260</v>
      </c>
      <c r="H213" s="189">
        <f t="shared" si="103"/>
        <v>41907.5</v>
      </c>
      <c r="I213" s="189">
        <v>281256</v>
      </c>
      <c r="J213" s="189">
        <f t="shared" si="122"/>
        <v>134104</v>
      </c>
      <c r="K213" s="189"/>
      <c r="L213" s="189">
        <f t="shared" si="123"/>
        <v>792527.5</v>
      </c>
    </row>
    <row r="214" spans="1:12" s="16" customFormat="1" ht="21.95" customHeight="1">
      <c r="A214" s="201">
        <v>190</v>
      </c>
      <c r="B214" s="162" t="s">
        <v>20</v>
      </c>
      <c r="C214" s="164" t="s">
        <v>192</v>
      </c>
      <c r="D214" s="164">
        <v>1</v>
      </c>
      <c r="E214" s="20">
        <v>0</v>
      </c>
      <c r="F214" s="20">
        <f t="shared" si="108"/>
        <v>1</v>
      </c>
      <c r="G214" s="189">
        <v>335260</v>
      </c>
      <c r="H214" s="189">
        <f t="shared" si="103"/>
        <v>41907.5</v>
      </c>
      <c r="I214" s="189">
        <v>281256</v>
      </c>
      <c r="J214" s="189">
        <f t="shared" si="54"/>
        <v>134104</v>
      </c>
      <c r="K214" s="189"/>
      <c r="L214" s="189">
        <f t="shared" si="62"/>
        <v>792527.5</v>
      </c>
    </row>
    <row r="215" spans="1:12" s="16" customFormat="1" ht="21.95" customHeight="1">
      <c r="A215" s="201">
        <v>191</v>
      </c>
      <c r="B215" s="162" t="s">
        <v>20</v>
      </c>
      <c r="C215" s="164" t="s">
        <v>192</v>
      </c>
      <c r="D215" s="164">
        <v>1</v>
      </c>
      <c r="E215" s="20">
        <v>0</v>
      </c>
      <c r="F215" s="20">
        <f t="shared" ref="F215:F278" si="124">SUM(D215:E215)</f>
        <v>1</v>
      </c>
      <c r="G215" s="189">
        <v>239830</v>
      </c>
      <c r="H215" s="189">
        <f t="shared" si="103"/>
        <v>29978.75</v>
      </c>
      <c r="I215" s="189">
        <v>229110</v>
      </c>
      <c r="J215" s="189">
        <f t="shared" ref="J215:J278" si="125">G215*40%</f>
        <v>95932</v>
      </c>
      <c r="K215" s="189"/>
      <c r="L215" s="189">
        <f t="shared" ref="L215:L278" si="126">SUM(G215:K215)</f>
        <v>594850.75</v>
      </c>
    </row>
    <row r="216" spans="1:12" s="16" customFormat="1" ht="21.95" customHeight="1">
      <c r="A216" s="201">
        <v>192</v>
      </c>
      <c r="B216" s="162" t="s">
        <v>20</v>
      </c>
      <c r="C216" s="164" t="s">
        <v>192</v>
      </c>
      <c r="D216" s="164">
        <v>1</v>
      </c>
      <c r="E216" s="20">
        <v>0</v>
      </c>
      <c r="F216" s="20">
        <f t="shared" si="124"/>
        <v>1</v>
      </c>
      <c r="G216" s="189">
        <v>239830</v>
      </c>
      <c r="H216" s="189">
        <f t="shared" si="103"/>
        <v>29978.75</v>
      </c>
      <c r="I216" s="189">
        <v>229110</v>
      </c>
      <c r="J216" s="189">
        <f t="shared" si="125"/>
        <v>95932</v>
      </c>
      <c r="K216" s="189"/>
      <c r="L216" s="189">
        <f t="shared" si="126"/>
        <v>594850.75</v>
      </c>
    </row>
    <row r="217" spans="1:12" s="16" customFormat="1" ht="21.95" customHeight="1">
      <c r="A217" s="201">
        <v>193</v>
      </c>
      <c r="B217" s="162" t="s">
        <v>20</v>
      </c>
      <c r="C217" s="164" t="s">
        <v>192</v>
      </c>
      <c r="D217" s="164">
        <v>1</v>
      </c>
      <c r="E217" s="20">
        <v>0</v>
      </c>
      <c r="F217" s="20">
        <f t="shared" si="124"/>
        <v>1</v>
      </c>
      <c r="G217" s="189">
        <v>239830</v>
      </c>
      <c r="H217" s="189">
        <f t="shared" si="103"/>
        <v>29978.75</v>
      </c>
      <c r="I217" s="189">
        <v>229110</v>
      </c>
      <c r="J217" s="189">
        <f t="shared" si="125"/>
        <v>95932</v>
      </c>
      <c r="K217" s="189"/>
      <c r="L217" s="189">
        <f t="shared" si="126"/>
        <v>594850.75</v>
      </c>
    </row>
    <row r="218" spans="1:12" s="16" customFormat="1" ht="21.95" customHeight="1">
      <c r="A218" s="201">
        <v>194</v>
      </c>
      <c r="B218" s="162" t="s">
        <v>20</v>
      </c>
      <c r="C218" s="164" t="s">
        <v>192</v>
      </c>
      <c r="D218" s="164">
        <v>1</v>
      </c>
      <c r="E218" s="20">
        <v>0</v>
      </c>
      <c r="F218" s="20">
        <f t="shared" si="124"/>
        <v>1</v>
      </c>
      <c r="G218" s="189">
        <v>239830</v>
      </c>
      <c r="H218" s="189">
        <f t="shared" si="103"/>
        <v>29978.75</v>
      </c>
      <c r="I218" s="189">
        <v>229110</v>
      </c>
      <c r="J218" s="189">
        <f t="shared" si="125"/>
        <v>95932</v>
      </c>
      <c r="K218" s="189"/>
      <c r="L218" s="189">
        <f t="shared" si="126"/>
        <v>594850.75</v>
      </c>
    </row>
    <row r="219" spans="1:12" s="16" customFormat="1" ht="21.95" customHeight="1">
      <c r="A219" s="201">
        <v>195</v>
      </c>
      <c r="B219" s="162" t="s">
        <v>20</v>
      </c>
      <c r="C219" s="164" t="s">
        <v>192</v>
      </c>
      <c r="D219" s="164">
        <v>1</v>
      </c>
      <c r="E219" s="20">
        <v>0</v>
      </c>
      <c r="F219" s="20">
        <f t="shared" si="124"/>
        <v>1</v>
      </c>
      <c r="G219" s="189">
        <v>239830</v>
      </c>
      <c r="H219" s="189">
        <f t="shared" si="103"/>
        <v>29978.75</v>
      </c>
      <c r="I219" s="189">
        <v>229110</v>
      </c>
      <c r="J219" s="189">
        <f t="shared" si="125"/>
        <v>95932</v>
      </c>
      <c r="K219" s="189"/>
      <c r="L219" s="189">
        <f t="shared" si="126"/>
        <v>594850.75</v>
      </c>
    </row>
    <row r="220" spans="1:12" s="16" customFormat="1" ht="21.95" customHeight="1">
      <c r="A220" s="201">
        <v>196</v>
      </c>
      <c r="B220" s="162" t="s">
        <v>20</v>
      </c>
      <c r="C220" s="164" t="s">
        <v>192</v>
      </c>
      <c r="D220" s="164">
        <v>1</v>
      </c>
      <c r="E220" s="20">
        <v>0</v>
      </c>
      <c r="F220" s="20">
        <f t="shared" si="124"/>
        <v>1</v>
      </c>
      <c r="G220" s="189">
        <v>239830</v>
      </c>
      <c r="H220" s="189">
        <f t="shared" si="103"/>
        <v>29978.75</v>
      </c>
      <c r="I220" s="189">
        <v>229110</v>
      </c>
      <c r="J220" s="189">
        <f t="shared" si="125"/>
        <v>95932</v>
      </c>
      <c r="K220" s="189"/>
      <c r="L220" s="189">
        <f t="shared" si="126"/>
        <v>594850.75</v>
      </c>
    </row>
    <row r="221" spans="1:12" s="16" customFormat="1" ht="21.95" customHeight="1">
      <c r="A221" s="201">
        <v>197</v>
      </c>
      <c r="B221" s="162" t="s">
        <v>20</v>
      </c>
      <c r="C221" s="164">
        <v>1</v>
      </c>
      <c r="D221" s="164">
        <v>1</v>
      </c>
      <c r="E221" s="20">
        <v>0</v>
      </c>
      <c r="F221" s="20">
        <f t="shared" si="124"/>
        <v>1</v>
      </c>
      <c r="G221" s="189">
        <v>239830</v>
      </c>
      <c r="H221" s="189">
        <f t="shared" si="103"/>
        <v>29978.75</v>
      </c>
      <c r="I221" s="189">
        <v>229110</v>
      </c>
      <c r="J221" s="189">
        <f t="shared" si="125"/>
        <v>95932</v>
      </c>
      <c r="K221" s="189"/>
      <c r="L221" s="189">
        <f t="shared" si="126"/>
        <v>594850.75</v>
      </c>
    </row>
    <row r="222" spans="1:12" s="16" customFormat="1" ht="21.95" customHeight="1">
      <c r="A222" s="201">
        <v>198</v>
      </c>
      <c r="B222" s="162" t="s">
        <v>20</v>
      </c>
      <c r="C222" s="164">
        <v>1</v>
      </c>
      <c r="D222" s="164">
        <v>1</v>
      </c>
      <c r="E222" s="20">
        <v>0</v>
      </c>
      <c r="F222" s="20">
        <f t="shared" si="124"/>
        <v>1</v>
      </c>
      <c r="G222" s="189">
        <v>181090</v>
      </c>
      <c r="H222" s="189">
        <f t="shared" si="103"/>
        <v>22636.25</v>
      </c>
      <c r="I222" s="189">
        <v>228582</v>
      </c>
      <c r="J222" s="189">
        <f t="shared" si="125"/>
        <v>72436</v>
      </c>
      <c r="K222" s="189"/>
      <c r="L222" s="189">
        <f t="shared" si="126"/>
        <v>504744.25</v>
      </c>
    </row>
    <row r="223" spans="1:12" s="16" customFormat="1" ht="21.95" customHeight="1">
      <c r="A223" s="201">
        <v>199</v>
      </c>
      <c r="B223" s="162" t="s">
        <v>20</v>
      </c>
      <c r="C223" s="164">
        <v>1</v>
      </c>
      <c r="D223" s="164">
        <v>1</v>
      </c>
      <c r="E223" s="20">
        <v>0</v>
      </c>
      <c r="F223" s="20">
        <f t="shared" si="124"/>
        <v>1</v>
      </c>
      <c r="G223" s="189">
        <v>181090</v>
      </c>
      <c r="H223" s="189">
        <f t="shared" si="103"/>
        <v>22636.25</v>
      </c>
      <c r="I223" s="189">
        <v>228582</v>
      </c>
      <c r="J223" s="189">
        <f t="shared" si="125"/>
        <v>72436</v>
      </c>
      <c r="K223" s="189"/>
      <c r="L223" s="189">
        <f t="shared" si="126"/>
        <v>504744.25</v>
      </c>
    </row>
    <row r="224" spans="1:12" s="16" customFormat="1" ht="21.95" customHeight="1">
      <c r="A224" s="201">
        <v>200</v>
      </c>
      <c r="B224" s="162" t="s">
        <v>20</v>
      </c>
      <c r="C224" s="164">
        <v>1</v>
      </c>
      <c r="D224" s="164">
        <v>1</v>
      </c>
      <c r="E224" s="20">
        <v>0</v>
      </c>
      <c r="F224" s="20">
        <f t="shared" si="124"/>
        <v>1</v>
      </c>
      <c r="G224" s="189">
        <v>181090</v>
      </c>
      <c r="H224" s="189">
        <f t="shared" si="103"/>
        <v>22636.25</v>
      </c>
      <c r="I224" s="189">
        <v>228582</v>
      </c>
      <c r="J224" s="189">
        <f t="shared" si="125"/>
        <v>72436</v>
      </c>
      <c r="K224" s="189"/>
      <c r="L224" s="189">
        <f t="shared" si="126"/>
        <v>504744.25</v>
      </c>
    </row>
    <row r="225" spans="1:12" s="16" customFormat="1" ht="21.95" customHeight="1">
      <c r="A225" s="201">
        <v>201</v>
      </c>
      <c r="B225" s="162" t="s">
        <v>20</v>
      </c>
      <c r="C225" s="164">
        <v>1</v>
      </c>
      <c r="D225" s="164">
        <v>1</v>
      </c>
      <c r="E225" s="20">
        <v>0</v>
      </c>
      <c r="F225" s="20">
        <f t="shared" si="124"/>
        <v>1</v>
      </c>
      <c r="G225" s="189">
        <v>181090</v>
      </c>
      <c r="H225" s="189">
        <f t="shared" si="103"/>
        <v>22636.25</v>
      </c>
      <c r="I225" s="189">
        <v>228582</v>
      </c>
      <c r="J225" s="189">
        <f t="shared" si="125"/>
        <v>72436</v>
      </c>
      <c r="K225" s="189"/>
      <c r="L225" s="189">
        <f t="shared" si="126"/>
        <v>504744.25</v>
      </c>
    </row>
    <row r="226" spans="1:12" s="16" customFormat="1" ht="21.95" customHeight="1">
      <c r="A226" s="201">
        <v>202</v>
      </c>
      <c r="B226" s="162" t="s">
        <v>20</v>
      </c>
      <c r="C226" s="164">
        <v>1</v>
      </c>
      <c r="D226" s="164">
        <v>1</v>
      </c>
      <c r="E226" s="20">
        <v>0</v>
      </c>
      <c r="F226" s="20">
        <f t="shared" si="124"/>
        <v>1</v>
      </c>
      <c r="G226" s="189">
        <v>181090</v>
      </c>
      <c r="H226" s="189">
        <f t="shared" si="103"/>
        <v>22636.25</v>
      </c>
      <c r="I226" s="189">
        <v>228582</v>
      </c>
      <c r="J226" s="189">
        <f t="shared" si="125"/>
        <v>72436</v>
      </c>
      <c r="K226" s="189"/>
      <c r="L226" s="189">
        <f t="shared" si="126"/>
        <v>504744.25</v>
      </c>
    </row>
    <row r="227" spans="1:12" s="16" customFormat="1" ht="21.95" customHeight="1">
      <c r="A227" s="201">
        <v>203</v>
      </c>
      <c r="B227" s="162" t="s">
        <v>20</v>
      </c>
      <c r="C227" s="164">
        <v>1</v>
      </c>
      <c r="D227" s="164">
        <v>1</v>
      </c>
      <c r="E227" s="20">
        <v>0</v>
      </c>
      <c r="F227" s="20">
        <f t="shared" si="124"/>
        <v>1</v>
      </c>
      <c r="G227" s="189">
        <v>181090</v>
      </c>
      <c r="H227" s="189">
        <f t="shared" si="103"/>
        <v>22636.25</v>
      </c>
      <c r="I227" s="189">
        <v>228582</v>
      </c>
      <c r="J227" s="189">
        <f t="shared" si="125"/>
        <v>72436</v>
      </c>
      <c r="K227" s="189"/>
      <c r="L227" s="189">
        <f t="shared" si="126"/>
        <v>504744.25</v>
      </c>
    </row>
    <row r="228" spans="1:12" s="16" customFormat="1" ht="21.95" customHeight="1">
      <c r="A228" s="201">
        <v>204</v>
      </c>
      <c r="B228" s="162" t="s">
        <v>20</v>
      </c>
      <c r="C228" s="164">
        <v>1</v>
      </c>
      <c r="D228" s="164">
        <v>1</v>
      </c>
      <c r="E228" s="20">
        <v>0</v>
      </c>
      <c r="F228" s="20">
        <f t="shared" si="124"/>
        <v>1</v>
      </c>
      <c r="G228" s="189">
        <v>181090</v>
      </c>
      <c r="H228" s="189">
        <f t="shared" si="103"/>
        <v>22636.25</v>
      </c>
      <c r="I228" s="189">
        <v>228582</v>
      </c>
      <c r="J228" s="189">
        <f t="shared" si="125"/>
        <v>72436</v>
      </c>
      <c r="K228" s="189"/>
      <c r="L228" s="189">
        <f t="shared" si="126"/>
        <v>504744.25</v>
      </c>
    </row>
    <row r="229" spans="1:12" s="16" customFormat="1" ht="21.95" customHeight="1">
      <c r="A229" s="201">
        <v>205</v>
      </c>
      <c r="B229" s="162" t="s">
        <v>20</v>
      </c>
      <c r="C229" s="164">
        <v>1</v>
      </c>
      <c r="D229" s="164">
        <v>1</v>
      </c>
      <c r="E229" s="20">
        <v>0</v>
      </c>
      <c r="F229" s="20">
        <f t="shared" si="124"/>
        <v>1</v>
      </c>
      <c r="G229" s="189">
        <v>181090</v>
      </c>
      <c r="H229" s="189">
        <f t="shared" si="103"/>
        <v>22636.25</v>
      </c>
      <c r="I229" s="189">
        <v>228582</v>
      </c>
      <c r="J229" s="189">
        <f t="shared" si="125"/>
        <v>72436</v>
      </c>
      <c r="K229" s="189"/>
      <c r="L229" s="189">
        <f t="shared" si="126"/>
        <v>504744.25</v>
      </c>
    </row>
    <row r="230" spans="1:12" s="16" customFormat="1" ht="21.95" customHeight="1">
      <c r="A230" s="201">
        <v>206</v>
      </c>
      <c r="B230" s="162" t="s">
        <v>20</v>
      </c>
      <c r="C230" s="164">
        <v>1</v>
      </c>
      <c r="D230" s="164">
        <v>1</v>
      </c>
      <c r="E230" s="20">
        <v>0</v>
      </c>
      <c r="F230" s="20">
        <f t="shared" si="124"/>
        <v>1</v>
      </c>
      <c r="G230" s="189">
        <v>181090</v>
      </c>
      <c r="H230" s="189">
        <f t="shared" si="103"/>
        <v>22636.25</v>
      </c>
      <c r="I230" s="189">
        <v>228582</v>
      </c>
      <c r="J230" s="189">
        <f t="shared" si="125"/>
        <v>72436</v>
      </c>
      <c r="K230" s="189"/>
      <c r="L230" s="189">
        <f t="shared" si="126"/>
        <v>504744.25</v>
      </c>
    </row>
    <row r="231" spans="1:12" s="16" customFormat="1" ht="21.95" customHeight="1">
      <c r="A231" s="201">
        <v>207</v>
      </c>
      <c r="B231" s="162" t="s">
        <v>20</v>
      </c>
      <c r="C231" s="164">
        <v>1</v>
      </c>
      <c r="D231" s="164">
        <v>1</v>
      </c>
      <c r="E231" s="20">
        <v>0</v>
      </c>
      <c r="F231" s="20">
        <f t="shared" si="124"/>
        <v>1</v>
      </c>
      <c r="G231" s="189">
        <v>181090</v>
      </c>
      <c r="H231" s="189">
        <f t="shared" si="103"/>
        <v>22636.25</v>
      </c>
      <c r="I231" s="189">
        <v>228582</v>
      </c>
      <c r="J231" s="189">
        <f t="shared" si="125"/>
        <v>72436</v>
      </c>
      <c r="K231" s="189"/>
      <c r="L231" s="189">
        <f t="shared" si="126"/>
        <v>504744.25</v>
      </c>
    </row>
    <row r="232" spans="1:12" s="16" customFormat="1" ht="21.95" customHeight="1">
      <c r="A232" s="201">
        <v>208</v>
      </c>
      <c r="B232" s="162" t="s">
        <v>20</v>
      </c>
      <c r="C232" s="164">
        <v>1</v>
      </c>
      <c r="D232" s="164">
        <v>1</v>
      </c>
      <c r="E232" s="20">
        <v>0</v>
      </c>
      <c r="F232" s="20">
        <f t="shared" si="124"/>
        <v>1</v>
      </c>
      <c r="G232" s="189">
        <v>181090</v>
      </c>
      <c r="H232" s="189">
        <f t="shared" si="103"/>
        <v>22636.25</v>
      </c>
      <c r="I232" s="189">
        <v>228582</v>
      </c>
      <c r="J232" s="189">
        <f t="shared" si="125"/>
        <v>72436</v>
      </c>
      <c r="K232" s="189"/>
      <c r="L232" s="189">
        <f t="shared" si="126"/>
        <v>504744.25</v>
      </c>
    </row>
    <row r="233" spans="1:12" s="16" customFormat="1" ht="21.95" customHeight="1">
      <c r="A233" s="201">
        <v>209</v>
      </c>
      <c r="B233" s="162" t="s">
        <v>20</v>
      </c>
      <c r="C233" s="164">
        <v>1</v>
      </c>
      <c r="D233" s="164">
        <v>1</v>
      </c>
      <c r="E233" s="20">
        <v>0</v>
      </c>
      <c r="F233" s="20">
        <f t="shared" si="124"/>
        <v>1</v>
      </c>
      <c r="G233" s="189">
        <v>181090</v>
      </c>
      <c r="H233" s="189">
        <f t="shared" si="103"/>
        <v>22636.25</v>
      </c>
      <c r="I233" s="189">
        <v>228582</v>
      </c>
      <c r="J233" s="189">
        <f t="shared" si="125"/>
        <v>72436</v>
      </c>
      <c r="K233" s="189"/>
      <c r="L233" s="189">
        <f t="shared" si="126"/>
        <v>504744.25</v>
      </c>
    </row>
    <row r="234" spans="1:12" s="16" customFormat="1" ht="21.95" customHeight="1">
      <c r="A234" s="201">
        <v>210</v>
      </c>
      <c r="B234" s="162" t="s">
        <v>20</v>
      </c>
      <c r="C234" s="164">
        <v>1</v>
      </c>
      <c r="D234" s="164">
        <v>1</v>
      </c>
      <c r="E234" s="20">
        <v>0</v>
      </c>
      <c r="F234" s="20">
        <f t="shared" si="124"/>
        <v>1</v>
      </c>
      <c r="G234" s="189">
        <v>181090</v>
      </c>
      <c r="H234" s="189">
        <f t="shared" ref="H234:H297" si="127">G234*12.5%</f>
        <v>22636.25</v>
      </c>
      <c r="I234" s="189">
        <v>228582</v>
      </c>
      <c r="J234" s="189">
        <f t="shared" si="125"/>
        <v>72436</v>
      </c>
      <c r="K234" s="189"/>
      <c r="L234" s="189">
        <f t="shared" si="126"/>
        <v>504744.25</v>
      </c>
    </row>
    <row r="235" spans="1:12" s="16" customFormat="1" ht="21.95" customHeight="1">
      <c r="A235" s="201">
        <v>211</v>
      </c>
      <c r="B235" s="162" t="s">
        <v>20</v>
      </c>
      <c r="C235" s="164">
        <v>1</v>
      </c>
      <c r="D235" s="164">
        <v>1</v>
      </c>
      <c r="E235" s="20">
        <v>0</v>
      </c>
      <c r="F235" s="20">
        <f t="shared" si="124"/>
        <v>1</v>
      </c>
      <c r="G235" s="189">
        <v>181090</v>
      </c>
      <c r="H235" s="189">
        <f t="shared" si="127"/>
        <v>22636.25</v>
      </c>
      <c r="I235" s="189">
        <v>228582</v>
      </c>
      <c r="J235" s="189">
        <f t="shared" si="125"/>
        <v>72436</v>
      </c>
      <c r="K235" s="189"/>
      <c r="L235" s="189">
        <f t="shared" si="126"/>
        <v>504744.25</v>
      </c>
    </row>
    <row r="236" spans="1:12" s="16" customFormat="1" ht="21.95" customHeight="1">
      <c r="A236" s="201">
        <v>212</v>
      </c>
      <c r="B236" s="162" t="s">
        <v>20</v>
      </c>
      <c r="C236" s="164">
        <v>1</v>
      </c>
      <c r="D236" s="164">
        <v>1</v>
      </c>
      <c r="E236" s="20">
        <v>0</v>
      </c>
      <c r="F236" s="20">
        <f t="shared" si="124"/>
        <v>1</v>
      </c>
      <c r="G236" s="189">
        <v>181090</v>
      </c>
      <c r="H236" s="189">
        <f t="shared" si="127"/>
        <v>22636.25</v>
      </c>
      <c r="I236" s="189">
        <v>228582</v>
      </c>
      <c r="J236" s="189">
        <f t="shared" si="125"/>
        <v>72436</v>
      </c>
      <c r="K236" s="189"/>
      <c r="L236" s="189">
        <f t="shared" si="126"/>
        <v>504744.25</v>
      </c>
    </row>
    <row r="237" spans="1:12" s="16" customFormat="1" ht="21.95" customHeight="1">
      <c r="A237" s="201">
        <v>213</v>
      </c>
      <c r="B237" s="162" t="s">
        <v>20</v>
      </c>
      <c r="C237" s="164">
        <v>1</v>
      </c>
      <c r="D237" s="164">
        <v>1</v>
      </c>
      <c r="E237" s="20">
        <v>0</v>
      </c>
      <c r="F237" s="20">
        <f t="shared" si="124"/>
        <v>1</v>
      </c>
      <c r="G237" s="189">
        <v>181090</v>
      </c>
      <c r="H237" s="189">
        <f t="shared" si="127"/>
        <v>22636.25</v>
      </c>
      <c r="I237" s="189">
        <v>228582</v>
      </c>
      <c r="J237" s="189">
        <f t="shared" si="125"/>
        <v>72436</v>
      </c>
      <c r="K237" s="189"/>
      <c r="L237" s="189">
        <f t="shared" si="126"/>
        <v>504744.25</v>
      </c>
    </row>
    <row r="238" spans="1:12" s="16" customFormat="1" ht="21.95" customHeight="1">
      <c r="A238" s="201">
        <v>214</v>
      </c>
      <c r="B238" s="162" t="s">
        <v>20</v>
      </c>
      <c r="C238" s="164">
        <v>1</v>
      </c>
      <c r="D238" s="164">
        <v>1</v>
      </c>
      <c r="E238" s="20">
        <v>0</v>
      </c>
      <c r="F238" s="20">
        <f t="shared" si="124"/>
        <v>1</v>
      </c>
      <c r="G238" s="189">
        <v>181090</v>
      </c>
      <c r="H238" s="189">
        <f t="shared" si="127"/>
        <v>22636.25</v>
      </c>
      <c r="I238" s="189">
        <v>218142</v>
      </c>
      <c r="J238" s="189">
        <f t="shared" si="125"/>
        <v>72436</v>
      </c>
      <c r="K238" s="189"/>
      <c r="L238" s="189">
        <f t="shared" si="126"/>
        <v>494304.25</v>
      </c>
    </row>
    <row r="239" spans="1:12" s="16" customFormat="1" ht="21.95" customHeight="1">
      <c r="A239" s="201">
        <v>215</v>
      </c>
      <c r="B239" s="162" t="s">
        <v>20</v>
      </c>
      <c r="C239" s="164">
        <v>1</v>
      </c>
      <c r="D239" s="164">
        <v>1</v>
      </c>
      <c r="E239" s="20">
        <v>0</v>
      </c>
      <c r="F239" s="20">
        <f t="shared" si="124"/>
        <v>1</v>
      </c>
      <c r="G239" s="189">
        <v>181090</v>
      </c>
      <c r="H239" s="189">
        <f t="shared" si="127"/>
        <v>22636.25</v>
      </c>
      <c r="I239" s="189">
        <v>218142</v>
      </c>
      <c r="J239" s="189">
        <f t="shared" si="125"/>
        <v>72436</v>
      </c>
      <c r="K239" s="189"/>
      <c r="L239" s="189">
        <f t="shared" si="126"/>
        <v>494304.25</v>
      </c>
    </row>
    <row r="240" spans="1:12" s="16" customFormat="1" ht="21.95" customHeight="1">
      <c r="A240" s="201">
        <v>216</v>
      </c>
      <c r="B240" s="162" t="s">
        <v>20</v>
      </c>
      <c r="C240" s="164">
        <v>1</v>
      </c>
      <c r="D240" s="164">
        <v>1</v>
      </c>
      <c r="E240" s="20">
        <v>0</v>
      </c>
      <c r="F240" s="20">
        <f t="shared" si="124"/>
        <v>1</v>
      </c>
      <c r="G240" s="189">
        <v>181090</v>
      </c>
      <c r="H240" s="189">
        <f t="shared" si="127"/>
        <v>22636.25</v>
      </c>
      <c r="I240" s="189">
        <v>218142</v>
      </c>
      <c r="J240" s="189">
        <f t="shared" si="125"/>
        <v>72436</v>
      </c>
      <c r="K240" s="189"/>
      <c r="L240" s="189">
        <f t="shared" si="126"/>
        <v>494304.25</v>
      </c>
    </row>
    <row r="241" spans="1:12" s="16" customFormat="1" ht="21.95" customHeight="1">
      <c r="A241" s="201">
        <v>217</v>
      </c>
      <c r="B241" s="162" t="s">
        <v>20</v>
      </c>
      <c r="C241" s="164">
        <v>1</v>
      </c>
      <c r="D241" s="164">
        <v>1</v>
      </c>
      <c r="E241" s="20">
        <v>0</v>
      </c>
      <c r="F241" s="20">
        <f t="shared" si="124"/>
        <v>1</v>
      </c>
      <c r="G241" s="189">
        <v>181090</v>
      </c>
      <c r="H241" s="189">
        <f t="shared" si="127"/>
        <v>22636.25</v>
      </c>
      <c r="I241" s="189">
        <v>218142</v>
      </c>
      <c r="J241" s="189">
        <f t="shared" si="125"/>
        <v>72436</v>
      </c>
      <c r="K241" s="189"/>
      <c r="L241" s="189">
        <f t="shared" si="126"/>
        <v>494304.25</v>
      </c>
    </row>
    <row r="242" spans="1:12" s="16" customFormat="1" ht="21.95" customHeight="1">
      <c r="A242" s="201">
        <v>218</v>
      </c>
      <c r="B242" s="162" t="s">
        <v>20</v>
      </c>
      <c r="C242" s="164">
        <v>1</v>
      </c>
      <c r="D242" s="164">
        <v>1</v>
      </c>
      <c r="E242" s="20">
        <v>0</v>
      </c>
      <c r="F242" s="20">
        <f t="shared" si="124"/>
        <v>1</v>
      </c>
      <c r="G242" s="189">
        <v>181090</v>
      </c>
      <c r="H242" s="189">
        <f t="shared" si="127"/>
        <v>22636.25</v>
      </c>
      <c r="I242" s="189">
        <v>218142</v>
      </c>
      <c r="J242" s="189">
        <f t="shared" si="125"/>
        <v>72436</v>
      </c>
      <c r="K242" s="189"/>
      <c r="L242" s="189">
        <f t="shared" si="126"/>
        <v>494304.25</v>
      </c>
    </row>
    <row r="243" spans="1:12" s="16" customFormat="1" ht="21.95" customHeight="1">
      <c r="A243" s="201">
        <v>219</v>
      </c>
      <c r="B243" s="162" t="s">
        <v>20</v>
      </c>
      <c r="C243" s="164">
        <v>1</v>
      </c>
      <c r="D243" s="164">
        <v>1</v>
      </c>
      <c r="E243" s="20">
        <v>0</v>
      </c>
      <c r="F243" s="20">
        <f t="shared" si="124"/>
        <v>1</v>
      </c>
      <c r="G243" s="189">
        <v>181090</v>
      </c>
      <c r="H243" s="189">
        <f t="shared" si="127"/>
        <v>22636.25</v>
      </c>
      <c r="I243" s="189">
        <v>218142</v>
      </c>
      <c r="J243" s="189">
        <f t="shared" si="125"/>
        <v>72436</v>
      </c>
      <c r="K243" s="189"/>
      <c r="L243" s="189">
        <f t="shared" si="126"/>
        <v>494304.25</v>
      </c>
    </row>
    <row r="244" spans="1:12" s="16" customFormat="1" ht="21.95" customHeight="1">
      <c r="A244" s="201">
        <v>220</v>
      </c>
      <c r="B244" s="162" t="s">
        <v>20</v>
      </c>
      <c r="C244" s="164">
        <v>1</v>
      </c>
      <c r="D244" s="164">
        <v>1</v>
      </c>
      <c r="E244" s="20">
        <v>0</v>
      </c>
      <c r="F244" s="20">
        <f t="shared" si="124"/>
        <v>1</v>
      </c>
      <c r="G244" s="189">
        <v>181090</v>
      </c>
      <c r="H244" s="189">
        <f t="shared" si="127"/>
        <v>22636.25</v>
      </c>
      <c r="I244" s="189">
        <v>218142</v>
      </c>
      <c r="J244" s="189">
        <f t="shared" si="125"/>
        <v>72436</v>
      </c>
      <c r="K244" s="189"/>
      <c r="L244" s="189">
        <f t="shared" si="126"/>
        <v>494304.25</v>
      </c>
    </row>
    <row r="245" spans="1:12" s="16" customFormat="1" ht="21.95" customHeight="1">
      <c r="A245" s="201">
        <v>221</v>
      </c>
      <c r="B245" s="162" t="s">
        <v>20</v>
      </c>
      <c r="C245" s="164">
        <v>1</v>
      </c>
      <c r="D245" s="164">
        <v>1</v>
      </c>
      <c r="E245" s="20">
        <v>0</v>
      </c>
      <c r="F245" s="20">
        <f t="shared" si="124"/>
        <v>1</v>
      </c>
      <c r="G245" s="189">
        <v>181090</v>
      </c>
      <c r="H245" s="189">
        <f t="shared" si="127"/>
        <v>22636.25</v>
      </c>
      <c r="I245" s="189">
        <v>218142</v>
      </c>
      <c r="J245" s="189">
        <f t="shared" si="125"/>
        <v>72436</v>
      </c>
      <c r="K245" s="189"/>
      <c r="L245" s="189">
        <f t="shared" si="126"/>
        <v>494304.25</v>
      </c>
    </row>
    <row r="246" spans="1:12" s="16" customFormat="1" ht="21.95" customHeight="1">
      <c r="A246" s="201">
        <v>222</v>
      </c>
      <c r="B246" s="162" t="s">
        <v>20</v>
      </c>
      <c r="C246" s="164">
        <v>1</v>
      </c>
      <c r="D246" s="164">
        <v>1</v>
      </c>
      <c r="E246" s="20">
        <v>0</v>
      </c>
      <c r="F246" s="20">
        <f t="shared" si="124"/>
        <v>1</v>
      </c>
      <c r="G246" s="189">
        <v>181090</v>
      </c>
      <c r="H246" s="189">
        <f t="shared" si="127"/>
        <v>22636.25</v>
      </c>
      <c r="I246" s="189">
        <v>218142</v>
      </c>
      <c r="J246" s="189">
        <f t="shared" si="125"/>
        <v>72436</v>
      </c>
      <c r="K246" s="189"/>
      <c r="L246" s="189">
        <f t="shared" si="126"/>
        <v>494304.25</v>
      </c>
    </row>
    <row r="247" spans="1:12" s="16" customFormat="1" ht="21.95" customHeight="1">
      <c r="A247" s="201">
        <v>223</v>
      </c>
      <c r="B247" s="162" t="s">
        <v>20</v>
      </c>
      <c r="C247" s="164">
        <v>1</v>
      </c>
      <c r="D247" s="164">
        <v>1</v>
      </c>
      <c r="E247" s="20">
        <v>0</v>
      </c>
      <c r="F247" s="20">
        <f t="shared" si="124"/>
        <v>1</v>
      </c>
      <c r="G247" s="189">
        <v>181090</v>
      </c>
      <c r="H247" s="189">
        <f t="shared" si="127"/>
        <v>22636.25</v>
      </c>
      <c r="I247" s="189">
        <v>218142</v>
      </c>
      <c r="J247" s="189">
        <f t="shared" si="125"/>
        <v>72436</v>
      </c>
      <c r="K247" s="189"/>
      <c r="L247" s="189">
        <f t="shared" si="126"/>
        <v>494304.25</v>
      </c>
    </row>
    <row r="248" spans="1:12" s="16" customFormat="1" ht="21.95" customHeight="1">
      <c r="A248" s="201">
        <v>224</v>
      </c>
      <c r="B248" s="162" t="s">
        <v>20</v>
      </c>
      <c r="C248" s="164">
        <v>1</v>
      </c>
      <c r="D248" s="164">
        <v>1</v>
      </c>
      <c r="E248" s="20">
        <v>0</v>
      </c>
      <c r="F248" s="20">
        <f t="shared" si="124"/>
        <v>1</v>
      </c>
      <c r="G248" s="189">
        <v>181090</v>
      </c>
      <c r="H248" s="189">
        <f t="shared" si="127"/>
        <v>22636.25</v>
      </c>
      <c r="I248" s="189">
        <v>218142</v>
      </c>
      <c r="J248" s="189">
        <f t="shared" si="125"/>
        <v>72436</v>
      </c>
      <c r="K248" s="189"/>
      <c r="L248" s="189">
        <f t="shared" si="126"/>
        <v>494304.25</v>
      </c>
    </row>
    <row r="249" spans="1:12" s="16" customFormat="1" ht="21.95" customHeight="1">
      <c r="A249" s="201">
        <v>225</v>
      </c>
      <c r="B249" s="162" t="s">
        <v>20</v>
      </c>
      <c r="C249" s="164">
        <v>1</v>
      </c>
      <c r="D249" s="164">
        <v>1</v>
      </c>
      <c r="E249" s="20">
        <v>0</v>
      </c>
      <c r="F249" s="20">
        <f t="shared" si="124"/>
        <v>1</v>
      </c>
      <c r="G249" s="189">
        <v>181090</v>
      </c>
      <c r="H249" s="189">
        <f t="shared" si="127"/>
        <v>22636.25</v>
      </c>
      <c r="I249" s="189">
        <v>218142</v>
      </c>
      <c r="J249" s="189">
        <f t="shared" si="125"/>
        <v>72436</v>
      </c>
      <c r="K249" s="189"/>
      <c r="L249" s="189">
        <f t="shared" si="126"/>
        <v>494304.25</v>
      </c>
    </row>
    <row r="250" spans="1:12" s="16" customFormat="1" ht="21.95" customHeight="1">
      <c r="A250" s="201">
        <v>226</v>
      </c>
      <c r="B250" s="162" t="s">
        <v>20</v>
      </c>
      <c r="C250" s="164">
        <v>1</v>
      </c>
      <c r="D250" s="164">
        <v>1</v>
      </c>
      <c r="E250" s="20">
        <v>0</v>
      </c>
      <c r="F250" s="20">
        <f t="shared" si="124"/>
        <v>1</v>
      </c>
      <c r="G250" s="189">
        <v>175930</v>
      </c>
      <c r="H250" s="189">
        <f t="shared" si="127"/>
        <v>21991.25</v>
      </c>
      <c r="I250" s="189">
        <v>201384</v>
      </c>
      <c r="J250" s="189">
        <f t="shared" si="125"/>
        <v>70372</v>
      </c>
      <c r="K250" s="189"/>
      <c r="L250" s="189">
        <f t="shared" si="126"/>
        <v>469677.25</v>
      </c>
    </row>
    <row r="251" spans="1:12" s="16" customFormat="1" ht="21.95" customHeight="1">
      <c r="A251" s="201">
        <v>227</v>
      </c>
      <c r="B251" s="162" t="s">
        <v>20</v>
      </c>
      <c r="C251" s="164">
        <v>1</v>
      </c>
      <c r="D251" s="164">
        <v>1</v>
      </c>
      <c r="E251" s="20">
        <v>0</v>
      </c>
      <c r="F251" s="20">
        <f t="shared" si="124"/>
        <v>1</v>
      </c>
      <c r="G251" s="189">
        <v>175930</v>
      </c>
      <c r="H251" s="189">
        <f t="shared" si="127"/>
        <v>21991.25</v>
      </c>
      <c r="I251" s="189">
        <v>201384</v>
      </c>
      <c r="J251" s="189">
        <f t="shared" si="125"/>
        <v>70372</v>
      </c>
      <c r="K251" s="189"/>
      <c r="L251" s="189">
        <f t="shared" si="126"/>
        <v>469677.25</v>
      </c>
    </row>
    <row r="252" spans="1:12" s="16" customFormat="1" ht="21.95" customHeight="1">
      <c r="A252" s="201">
        <v>228</v>
      </c>
      <c r="B252" s="162" t="s">
        <v>20</v>
      </c>
      <c r="C252" s="164">
        <v>1</v>
      </c>
      <c r="D252" s="164">
        <v>1</v>
      </c>
      <c r="E252" s="20">
        <v>0</v>
      </c>
      <c r="F252" s="20">
        <f t="shared" si="124"/>
        <v>1</v>
      </c>
      <c r="G252" s="189">
        <v>175930</v>
      </c>
      <c r="H252" s="189">
        <f t="shared" si="127"/>
        <v>21991.25</v>
      </c>
      <c r="I252" s="189">
        <v>201384</v>
      </c>
      <c r="J252" s="189">
        <f t="shared" si="125"/>
        <v>70372</v>
      </c>
      <c r="K252" s="189"/>
      <c r="L252" s="189">
        <f t="shared" si="126"/>
        <v>469677.25</v>
      </c>
    </row>
    <row r="253" spans="1:12" s="16" customFormat="1" ht="21.95" customHeight="1">
      <c r="A253" s="201">
        <v>229</v>
      </c>
      <c r="B253" s="162" t="s">
        <v>20</v>
      </c>
      <c r="C253" s="164">
        <v>1</v>
      </c>
      <c r="D253" s="164">
        <v>1</v>
      </c>
      <c r="E253" s="20">
        <v>0</v>
      </c>
      <c r="F253" s="20">
        <f t="shared" si="124"/>
        <v>1</v>
      </c>
      <c r="G253" s="189">
        <v>175930</v>
      </c>
      <c r="H253" s="189">
        <f t="shared" si="127"/>
        <v>21991.25</v>
      </c>
      <c r="I253" s="189">
        <v>201384</v>
      </c>
      <c r="J253" s="189">
        <f t="shared" si="125"/>
        <v>70372</v>
      </c>
      <c r="K253" s="189"/>
      <c r="L253" s="189">
        <f t="shared" si="126"/>
        <v>469677.25</v>
      </c>
    </row>
    <row r="254" spans="1:12" s="16" customFormat="1" ht="21.95" customHeight="1">
      <c r="A254" s="201">
        <v>230</v>
      </c>
      <c r="B254" s="162" t="s">
        <v>20</v>
      </c>
      <c r="C254" s="164">
        <v>1</v>
      </c>
      <c r="D254" s="164">
        <v>1</v>
      </c>
      <c r="E254" s="20">
        <v>0</v>
      </c>
      <c r="F254" s="20">
        <f t="shared" si="124"/>
        <v>1</v>
      </c>
      <c r="G254" s="189">
        <v>175930</v>
      </c>
      <c r="H254" s="189">
        <f t="shared" si="127"/>
        <v>21991.25</v>
      </c>
      <c r="I254" s="189">
        <v>201384</v>
      </c>
      <c r="J254" s="189">
        <f t="shared" si="125"/>
        <v>70372</v>
      </c>
      <c r="K254" s="189"/>
      <c r="L254" s="189">
        <f t="shared" si="126"/>
        <v>469677.25</v>
      </c>
    </row>
    <row r="255" spans="1:12" s="16" customFormat="1" ht="21.95" customHeight="1">
      <c r="A255" s="201">
        <v>231</v>
      </c>
      <c r="B255" s="162" t="s">
        <v>20</v>
      </c>
      <c r="C255" s="164">
        <v>1</v>
      </c>
      <c r="D255" s="164">
        <v>1</v>
      </c>
      <c r="E255" s="20">
        <v>0</v>
      </c>
      <c r="F255" s="20">
        <f t="shared" si="124"/>
        <v>1</v>
      </c>
      <c r="G255" s="189">
        <v>175930</v>
      </c>
      <c r="H255" s="189">
        <f t="shared" si="127"/>
        <v>21991.25</v>
      </c>
      <c r="I255" s="189">
        <v>201384</v>
      </c>
      <c r="J255" s="189">
        <f t="shared" si="125"/>
        <v>70372</v>
      </c>
      <c r="K255" s="189"/>
      <c r="L255" s="189">
        <f t="shared" si="126"/>
        <v>469677.25</v>
      </c>
    </row>
    <row r="256" spans="1:12" s="16" customFormat="1" ht="21.95" customHeight="1">
      <c r="A256" s="201">
        <v>232</v>
      </c>
      <c r="B256" s="162" t="s">
        <v>20</v>
      </c>
      <c r="C256" s="164">
        <v>1</v>
      </c>
      <c r="D256" s="164">
        <v>1</v>
      </c>
      <c r="E256" s="20">
        <v>0</v>
      </c>
      <c r="F256" s="20">
        <f t="shared" si="124"/>
        <v>1</v>
      </c>
      <c r="G256" s="189">
        <v>175930</v>
      </c>
      <c r="H256" s="189">
        <f t="shared" si="127"/>
        <v>21991.25</v>
      </c>
      <c r="I256" s="189">
        <v>197904</v>
      </c>
      <c r="J256" s="189">
        <f t="shared" si="125"/>
        <v>70372</v>
      </c>
      <c r="K256" s="189"/>
      <c r="L256" s="189">
        <f t="shared" si="126"/>
        <v>466197.25</v>
      </c>
    </row>
    <row r="257" spans="1:12" s="16" customFormat="1" ht="21.95" customHeight="1">
      <c r="A257" s="201">
        <v>233</v>
      </c>
      <c r="B257" s="162" t="s">
        <v>20</v>
      </c>
      <c r="C257" s="164">
        <v>1</v>
      </c>
      <c r="D257" s="164">
        <v>1</v>
      </c>
      <c r="E257" s="20">
        <v>0</v>
      </c>
      <c r="F257" s="20">
        <f t="shared" si="124"/>
        <v>1</v>
      </c>
      <c r="G257" s="189">
        <v>175930</v>
      </c>
      <c r="H257" s="189">
        <f t="shared" si="127"/>
        <v>21991.25</v>
      </c>
      <c r="I257" s="189">
        <v>197904</v>
      </c>
      <c r="J257" s="189">
        <f t="shared" si="125"/>
        <v>70372</v>
      </c>
      <c r="K257" s="189"/>
      <c r="L257" s="189">
        <f t="shared" si="126"/>
        <v>466197.25</v>
      </c>
    </row>
    <row r="258" spans="1:12" s="16" customFormat="1" ht="21.95" customHeight="1">
      <c r="A258" s="201">
        <v>234</v>
      </c>
      <c r="B258" s="162" t="s">
        <v>20</v>
      </c>
      <c r="C258" s="164">
        <v>1</v>
      </c>
      <c r="D258" s="164">
        <v>1</v>
      </c>
      <c r="E258" s="20">
        <v>0</v>
      </c>
      <c r="F258" s="20">
        <f t="shared" si="124"/>
        <v>1</v>
      </c>
      <c r="G258" s="189">
        <v>175930</v>
      </c>
      <c r="H258" s="189">
        <f t="shared" si="127"/>
        <v>21991.25</v>
      </c>
      <c r="I258" s="189">
        <v>197904</v>
      </c>
      <c r="J258" s="189">
        <f t="shared" si="125"/>
        <v>70372</v>
      </c>
      <c r="K258" s="189"/>
      <c r="L258" s="189">
        <f t="shared" si="126"/>
        <v>466197.25</v>
      </c>
    </row>
    <row r="259" spans="1:12" s="16" customFormat="1" ht="21.95" customHeight="1">
      <c r="A259" s="201">
        <v>235</v>
      </c>
      <c r="B259" s="162" t="s">
        <v>20</v>
      </c>
      <c r="C259" s="164">
        <v>1</v>
      </c>
      <c r="D259" s="164">
        <v>1</v>
      </c>
      <c r="E259" s="20">
        <v>0</v>
      </c>
      <c r="F259" s="20">
        <f t="shared" si="124"/>
        <v>1</v>
      </c>
      <c r="G259" s="189">
        <v>175930</v>
      </c>
      <c r="H259" s="189">
        <f t="shared" si="127"/>
        <v>21991.25</v>
      </c>
      <c r="I259" s="189">
        <v>197904</v>
      </c>
      <c r="J259" s="189">
        <f t="shared" si="125"/>
        <v>70372</v>
      </c>
      <c r="K259" s="189"/>
      <c r="L259" s="189">
        <f t="shared" si="126"/>
        <v>466197.25</v>
      </c>
    </row>
    <row r="260" spans="1:12" s="16" customFormat="1" ht="21.95" customHeight="1">
      <c r="A260" s="201">
        <v>236</v>
      </c>
      <c r="B260" s="162" t="s">
        <v>20</v>
      </c>
      <c r="C260" s="164">
        <v>1</v>
      </c>
      <c r="D260" s="164">
        <v>1</v>
      </c>
      <c r="E260" s="20">
        <v>0</v>
      </c>
      <c r="F260" s="20">
        <f t="shared" si="124"/>
        <v>1</v>
      </c>
      <c r="G260" s="189">
        <v>175930</v>
      </c>
      <c r="H260" s="189">
        <f t="shared" si="127"/>
        <v>21991.25</v>
      </c>
      <c r="I260" s="189">
        <v>197904</v>
      </c>
      <c r="J260" s="189">
        <f t="shared" si="125"/>
        <v>70372</v>
      </c>
      <c r="K260" s="189"/>
      <c r="L260" s="189">
        <f t="shared" si="126"/>
        <v>466197.25</v>
      </c>
    </row>
    <row r="261" spans="1:12" s="16" customFormat="1" ht="21.95" customHeight="1">
      <c r="A261" s="201">
        <v>237</v>
      </c>
      <c r="B261" s="162" t="s">
        <v>20</v>
      </c>
      <c r="C261" s="164">
        <v>1</v>
      </c>
      <c r="D261" s="164">
        <v>1</v>
      </c>
      <c r="E261" s="20">
        <v>0</v>
      </c>
      <c r="F261" s="20">
        <f t="shared" si="124"/>
        <v>1</v>
      </c>
      <c r="G261" s="189">
        <v>175930</v>
      </c>
      <c r="H261" s="189">
        <f t="shared" si="127"/>
        <v>21991.25</v>
      </c>
      <c r="I261" s="189">
        <v>197904</v>
      </c>
      <c r="J261" s="189">
        <f t="shared" si="125"/>
        <v>70372</v>
      </c>
      <c r="K261" s="189"/>
      <c r="L261" s="189">
        <f t="shared" si="126"/>
        <v>466197.25</v>
      </c>
    </row>
    <row r="262" spans="1:12" s="16" customFormat="1" ht="21.95" customHeight="1">
      <c r="A262" s="201">
        <v>238</v>
      </c>
      <c r="B262" s="162" t="s">
        <v>20</v>
      </c>
      <c r="C262" s="164">
        <v>1</v>
      </c>
      <c r="D262" s="164">
        <v>1</v>
      </c>
      <c r="E262" s="20">
        <v>0</v>
      </c>
      <c r="F262" s="20">
        <f t="shared" si="124"/>
        <v>1</v>
      </c>
      <c r="G262" s="189">
        <v>175930</v>
      </c>
      <c r="H262" s="189">
        <f t="shared" si="127"/>
        <v>21991.25</v>
      </c>
      <c r="I262" s="189">
        <v>197904</v>
      </c>
      <c r="J262" s="189">
        <f t="shared" si="125"/>
        <v>70372</v>
      </c>
      <c r="K262" s="189"/>
      <c r="L262" s="189">
        <f t="shared" si="126"/>
        <v>466197.25</v>
      </c>
    </row>
    <row r="263" spans="1:12" s="16" customFormat="1" ht="21.95" customHeight="1">
      <c r="A263" s="201">
        <v>239</v>
      </c>
      <c r="B263" s="162" t="s">
        <v>20</v>
      </c>
      <c r="C263" s="164">
        <v>1</v>
      </c>
      <c r="D263" s="164">
        <v>1</v>
      </c>
      <c r="E263" s="20">
        <v>0</v>
      </c>
      <c r="F263" s="20">
        <f t="shared" si="124"/>
        <v>1</v>
      </c>
      <c r="G263" s="189">
        <v>175930</v>
      </c>
      <c r="H263" s="189">
        <f t="shared" si="127"/>
        <v>21991.25</v>
      </c>
      <c r="I263" s="189">
        <v>197904</v>
      </c>
      <c r="J263" s="189">
        <f t="shared" si="125"/>
        <v>70372</v>
      </c>
      <c r="K263" s="189"/>
      <c r="L263" s="189">
        <f t="shared" si="126"/>
        <v>466197.25</v>
      </c>
    </row>
    <row r="264" spans="1:12" s="16" customFormat="1" ht="21.95" customHeight="1">
      <c r="A264" s="201">
        <v>240</v>
      </c>
      <c r="B264" s="162" t="s">
        <v>20</v>
      </c>
      <c r="C264" s="164">
        <v>1</v>
      </c>
      <c r="D264" s="164">
        <v>1</v>
      </c>
      <c r="E264" s="20">
        <v>0</v>
      </c>
      <c r="F264" s="20">
        <f t="shared" si="124"/>
        <v>1</v>
      </c>
      <c r="G264" s="189">
        <v>175930</v>
      </c>
      <c r="H264" s="189">
        <f t="shared" si="127"/>
        <v>21991.25</v>
      </c>
      <c r="I264" s="189">
        <v>197904</v>
      </c>
      <c r="J264" s="189">
        <f t="shared" si="125"/>
        <v>70372</v>
      </c>
      <c r="K264" s="189"/>
      <c r="L264" s="189">
        <f t="shared" si="126"/>
        <v>466197.25</v>
      </c>
    </row>
    <row r="265" spans="1:12" s="16" customFormat="1" ht="21.95" customHeight="1">
      <c r="A265" s="201">
        <v>241</v>
      </c>
      <c r="B265" s="162" t="s">
        <v>20</v>
      </c>
      <c r="C265" s="164">
        <v>1</v>
      </c>
      <c r="D265" s="164">
        <v>1</v>
      </c>
      <c r="E265" s="20">
        <v>0</v>
      </c>
      <c r="F265" s="20">
        <f t="shared" si="124"/>
        <v>1</v>
      </c>
      <c r="G265" s="189">
        <v>175930</v>
      </c>
      <c r="H265" s="189">
        <f t="shared" si="127"/>
        <v>21991.25</v>
      </c>
      <c r="I265" s="189">
        <v>197904</v>
      </c>
      <c r="J265" s="189">
        <f t="shared" si="125"/>
        <v>70372</v>
      </c>
      <c r="K265" s="189"/>
      <c r="L265" s="189">
        <f t="shared" si="126"/>
        <v>466197.25</v>
      </c>
    </row>
    <row r="266" spans="1:12" s="16" customFormat="1" ht="21.95" customHeight="1">
      <c r="A266" s="201">
        <v>242</v>
      </c>
      <c r="B266" s="162" t="s">
        <v>20</v>
      </c>
      <c r="C266" s="164">
        <v>1</v>
      </c>
      <c r="D266" s="164">
        <v>1</v>
      </c>
      <c r="E266" s="20">
        <v>0</v>
      </c>
      <c r="F266" s="20">
        <f t="shared" si="124"/>
        <v>1</v>
      </c>
      <c r="G266" s="189">
        <v>175930</v>
      </c>
      <c r="H266" s="189">
        <f t="shared" si="127"/>
        <v>21991.25</v>
      </c>
      <c r="I266" s="189">
        <v>197904</v>
      </c>
      <c r="J266" s="189">
        <f t="shared" si="125"/>
        <v>70372</v>
      </c>
      <c r="K266" s="189"/>
      <c r="L266" s="189">
        <f t="shared" si="126"/>
        <v>466197.25</v>
      </c>
    </row>
    <row r="267" spans="1:12" s="16" customFormat="1" ht="21.95" customHeight="1">
      <c r="A267" s="201">
        <v>243</v>
      </c>
      <c r="B267" s="162" t="s">
        <v>20</v>
      </c>
      <c r="C267" s="164">
        <v>1</v>
      </c>
      <c r="D267" s="164">
        <v>1</v>
      </c>
      <c r="E267" s="20">
        <v>0</v>
      </c>
      <c r="F267" s="20">
        <f t="shared" si="124"/>
        <v>1</v>
      </c>
      <c r="G267" s="189">
        <v>175930</v>
      </c>
      <c r="H267" s="189">
        <f t="shared" si="127"/>
        <v>21991.25</v>
      </c>
      <c r="I267" s="189">
        <v>197904</v>
      </c>
      <c r="J267" s="189">
        <f t="shared" si="125"/>
        <v>70372</v>
      </c>
      <c r="K267" s="189"/>
      <c r="L267" s="189">
        <f t="shared" si="126"/>
        <v>466197.25</v>
      </c>
    </row>
    <row r="268" spans="1:12" s="16" customFormat="1" ht="21.95" customHeight="1">
      <c r="A268" s="201">
        <v>244</v>
      </c>
      <c r="B268" s="162" t="s">
        <v>20</v>
      </c>
      <c r="C268" s="164">
        <v>1</v>
      </c>
      <c r="D268" s="164">
        <v>1</v>
      </c>
      <c r="E268" s="20">
        <v>0</v>
      </c>
      <c r="F268" s="20">
        <f t="shared" si="124"/>
        <v>1</v>
      </c>
      <c r="G268" s="189">
        <v>175930</v>
      </c>
      <c r="H268" s="189">
        <f t="shared" si="127"/>
        <v>21991.25</v>
      </c>
      <c r="I268" s="189">
        <v>197904</v>
      </c>
      <c r="J268" s="189">
        <f t="shared" si="125"/>
        <v>70372</v>
      </c>
      <c r="K268" s="189"/>
      <c r="L268" s="189">
        <f t="shared" si="126"/>
        <v>466197.25</v>
      </c>
    </row>
    <row r="269" spans="1:12" s="16" customFormat="1" ht="21.95" customHeight="1">
      <c r="A269" s="201">
        <v>245</v>
      </c>
      <c r="B269" s="162" t="s">
        <v>20</v>
      </c>
      <c r="C269" s="164">
        <v>1</v>
      </c>
      <c r="D269" s="164">
        <v>1</v>
      </c>
      <c r="E269" s="20">
        <v>0</v>
      </c>
      <c r="F269" s="20">
        <f t="shared" si="124"/>
        <v>1</v>
      </c>
      <c r="G269" s="189">
        <v>175930</v>
      </c>
      <c r="H269" s="189">
        <f t="shared" si="127"/>
        <v>21991.25</v>
      </c>
      <c r="I269" s="189">
        <v>197904</v>
      </c>
      <c r="J269" s="189">
        <f t="shared" si="125"/>
        <v>70372</v>
      </c>
      <c r="K269" s="189"/>
      <c r="L269" s="189">
        <f t="shared" si="126"/>
        <v>466197.25</v>
      </c>
    </row>
    <row r="270" spans="1:12" s="16" customFormat="1" ht="21.95" customHeight="1">
      <c r="A270" s="201">
        <v>246</v>
      </c>
      <c r="B270" s="162" t="s">
        <v>20</v>
      </c>
      <c r="C270" s="164">
        <v>1</v>
      </c>
      <c r="D270" s="164">
        <v>1</v>
      </c>
      <c r="E270" s="20">
        <v>0</v>
      </c>
      <c r="F270" s="20">
        <f t="shared" si="124"/>
        <v>1</v>
      </c>
      <c r="G270" s="189">
        <v>175930</v>
      </c>
      <c r="H270" s="189">
        <f t="shared" si="127"/>
        <v>21991.25</v>
      </c>
      <c r="I270" s="189">
        <v>197904</v>
      </c>
      <c r="J270" s="189">
        <f t="shared" si="125"/>
        <v>70372</v>
      </c>
      <c r="K270" s="189"/>
      <c r="L270" s="189">
        <f t="shared" si="126"/>
        <v>466197.25</v>
      </c>
    </row>
    <row r="271" spans="1:12" s="16" customFormat="1" ht="21.95" customHeight="1">
      <c r="A271" s="201">
        <v>247</v>
      </c>
      <c r="B271" s="162" t="s">
        <v>20</v>
      </c>
      <c r="C271" s="164">
        <v>1</v>
      </c>
      <c r="D271" s="164">
        <v>1</v>
      </c>
      <c r="E271" s="20">
        <v>0</v>
      </c>
      <c r="F271" s="20">
        <f t="shared" si="124"/>
        <v>1</v>
      </c>
      <c r="G271" s="189">
        <v>175930</v>
      </c>
      <c r="H271" s="189">
        <f t="shared" si="127"/>
        <v>21991.25</v>
      </c>
      <c r="I271" s="189">
        <v>197904</v>
      </c>
      <c r="J271" s="189">
        <f t="shared" si="125"/>
        <v>70372</v>
      </c>
      <c r="K271" s="189"/>
      <c r="L271" s="189">
        <f t="shared" si="126"/>
        <v>466197.25</v>
      </c>
    </row>
    <row r="272" spans="1:12" s="16" customFormat="1" ht="21.95" customHeight="1">
      <c r="A272" s="201">
        <v>248</v>
      </c>
      <c r="B272" s="162" t="s">
        <v>20</v>
      </c>
      <c r="C272" s="164">
        <v>1</v>
      </c>
      <c r="D272" s="164">
        <v>1</v>
      </c>
      <c r="E272" s="20">
        <v>0</v>
      </c>
      <c r="F272" s="20">
        <f t="shared" si="124"/>
        <v>1</v>
      </c>
      <c r="G272" s="189">
        <v>175930</v>
      </c>
      <c r="H272" s="189">
        <f t="shared" si="127"/>
        <v>21991.25</v>
      </c>
      <c r="I272" s="189">
        <v>197904</v>
      </c>
      <c r="J272" s="189">
        <f t="shared" si="125"/>
        <v>70372</v>
      </c>
      <c r="K272" s="189"/>
      <c r="L272" s="189">
        <f t="shared" si="126"/>
        <v>466197.25</v>
      </c>
    </row>
    <row r="273" spans="1:12" s="16" customFormat="1" ht="21.95" customHeight="1">
      <c r="A273" s="201">
        <v>249</v>
      </c>
      <c r="B273" s="162" t="s">
        <v>20</v>
      </c>
      <c r="C273" s="164">
        <v>1</v>
      </c>
      <c r="D273" s="164">
        <v>1</v>
      </c>
      <c r="E273" s="20">
        <v>0</v>
      </c>
      <c r="F273" s="20">
        <f t="shared" si="124"/>
        <v>1</v>
      </c>
      <c r="G273" s="189">
        <v>175930</v>
      </c>
      <c r="H273" s="189">
        <f t="shared" si="127"/>
        <v>21991.25</v>
      </c>
      <c r="I273" s="189">
        <v>197904</v>
      </c>
      <c r="J273" s="189">
        <f t="shared" si="125"/>
        <v>70372</v>
      </c>
      <c r="K273" s="189"/>
      <c r="L273" s="189">
        <f t="shared" si="126"/>
        <v>466197.25</v>
      </c>
    </row>
    <row r="274" spans="1:12" s="16" customFormat="1" ht="21.95" customHeight="1">
      <c r="A274" s="201">
        <v>250</v>
      </c>
      <c r="B274" s="162" t="s">
        <v>20</v>
      </c>
      <c r="C274" s="164">
        <v>1</v>
      </c>
      <c r="D274" s="164">
        <v>1</v>
      </c>
      <c r="E274" s="20">
        <v>0</v>
      </c>
      <c r="F274" s="20">
        <f t="shared" si="124"/>
        <v>1</v>
      </c>
      <c r="G274" s="189">
        <v>175930</v>
      </c>
      <c r="H274" s="189">
        <f t="shared" si="127"/>
        <v>21991.25</v>
      </c>
      <c r="I274" s="189">
        <v>197904</v>
      </c>
      <c r="J274" s="189">
        <f t="shared" si="125"/>
        <v>70372</v>
      </c>
      <c r="K274" s="189"/>
      <c r="L274" s="189">
        <f t="shared" si="126"/>
        <v>466197.25</v>
      </c>
    </row>
    <row r="275" spans="1:12" s="16" customFormat="1" ht="21.95" customHeight="1">
      <c r="A275" s="201">
        <v>251</v>
      </c>
      <c r="B275" s="162" t="s">
        <v>20</v>
      </c>
      <c r="C275" s="164">
        <v>1</v>
      </c>
      <c r="D275" s="164">
        <v>1</v>
      </c>
      <c r="E275" s="20">
        <v>0</v>
      </c>
      <c r="F275" s="20">
        <f t="shared" si="124"/>
        <v>1</v>
      </c>
      <c r="G275" s="189">
        <v>175930</v>
      </c>
      <c r="H275" s="189">
        <f t="shared" si="127"/>
        <v>21991.25</v>
      </c>
      <c r="I275" s="189">
        <v>197904</v>
      </c>
      <c r="J275" s="189">
        <f t="shared" si="125"/>
        <v>70372</v>
      </c>
      <c r="K275" s="189"/>
      <c r="L275" s="189">
        <f t="shared" si="126"/>
        <v>466197.25</v>
      </c>
    </row>
    <row r="276" spans="1:12" s="16" customFormat="1" ht="21.95" customHeight="1">
      <c r="A276" s="201">
        <v>252</v>
      </c>
      <c r="B276" s="162" t="s">
        <v>20</v>
      </c>
      <c r="C276" s="164">
        <v>1</v>
      </c>
      <c r="D276" s="164">
        <v>1</v>
      </c>
      <c r="E276" s="20">
        <v>0</v>
      </c>
      <c r="F276" s="20">
        <f t="shared" si="124"/>
        <v>1</v>
      </c>
      <c r="G276" s="189">
        <v>175930</v>
      </c>
      <c r="H276" s="189">
        <f t="shared" si="127"/>
        <v>21991.25</v>
      </c>
      <c r="I276" s="189">
        <v>197904</v>
      </c>
      <c r="J276" s="189">
        <f t="shared" si="125"/>
        <v>70372</v>
      </c>
      <c r="K276" s="189"/>
      <c r="L276" s="189">
        <f t="shared" si="126"/>
        <v>466197.25</v>
      </c>
    </row>
    <row r="277" spans="1:12" s="16" customFormat="1" ht="21.95" customHeight="1">
      <c r="A277" s="201">
        <v>253</v>
      </c>
      <c r="B277" s="162" t="s">
        <v>20</v>
      </c>
      <c r="C277" s="164">
        <v>1</v>
      </c>
      <c r="D277" s="164">
        <v>1</v>
      </c>
      <c r="E277" s="20">
        <v>0</v>
      </c>
      <c r="F277" s="20">
        <f t="shared" si="124"/>
        <v>1</v>
      </c>
      <c r="G277" s="189">
        <v>175930</v>
      </c>
      <c r="H277" s="189">
        <f t="shared" si="127"/>
        <v>21991.25</v>
      </c>
      <c r="I277" s="189">
        <v>197904</v>
      </c>
      <c r="J277" s="189">
        <f t="shared" si="125"/>
        <v>70372</v>
      </c>
      <c r="K277" s="189"/>
      <c r="L277" s="189">
        <f t="shared" si="126"/>
        <v>466197.25</v>
      </c>
    </row>
    <row r="278" spans="1:12" s="16" customFormat="1" ht="21.95" customHeight="1">
      <c r="A278" s="201">
        <v>254</v>
      </c>
      <c r="B278" s="162" t="s">
        <v>20</v>
      </c>
      <c r="C278" s="164">
        <v>1</v>
      </c>
      <c r="D278" s="164">
        <v>1</v>
      </c>
      <c r="E278" s="20">
        <v>0</v>
      </c>
      <c r="F278" s="20">
        <f t="shared" si="124"/>
        <v>1</v>
      </c>
      <c r="G278" s="189">
        <v>175930</v>
      </c>
      <c r="H278" s="189">
        <f t="shared" si="127"/>
        <v>21991.25</v>
      </c>
      <c r="I278" s="189">
        <v>197904</v>
      </c>
      <c r="J278" s="189">
        <f t="shared" si="125"/>
        <v>70372</v>
      </c>
      <c r="K278" s="189"/>
      <c r="L278" s="189">
        <f t="shared" si="126"/>
        <v>466197.25</v>
      </c>
    </row>
    <row r="279" spans="1:12" s="16" customFormat="1" ht="21.95" customHeight="1">
      <c r="A279" s="201">
        <v>255</v>
      </c>
      <c r="B279" s="162" t="s">
        <v>20</v>
      </c>
      <c r="C279" s="164">
        <v>1</v>
      </c>
      <c r="D279" s="164">
        <v>1</v>
      </c>
      <c r="E279" s="20">
        <v>0</v>
      </c>
      <c r="F279" s="20">
        <f t="shared" ref="F279:F342" si="128">SUM(D279:E279)</f>
        <v>1</v>
      </c>
      <c r="G279" s="189">
        <v>175930</v>
      </c>
      <c r="H279" s="189">
        <f t="shared" si="127"/>
        <v>21991.25</v>
      </c>
      <c r="I279" s="189">
        <v>197904</v>
      </c>
      <c r="J279" s="189">
        <f t="shared" ref="J279:J342" si="129">G279*40%</f>
        <v>70372</v>
      </c>
      <c r="K279" s="189"/>
      <c r="L279" s="189">
        <f t="shared" ref="L279:L342" si="130">SUM(G279:K279)</f>
        <v>466197.25</v>
      </c>
    </row>
    <row r="280" spans="1:12" s="16" customFormat="1" ht="21.95" customHeight="1">
      <c r="A280" s="201">
        <v>256</v>
      </c>
      <c r="B280" s="162" t="s">
        <v>20</v>
      </c>
      <c r="C280" s="164">
        <v>1</v>
      </c>
      <c r="D280" s="164">
        <v>1</v>
      </c>
      <c r="E280" s="20">
        <v>0</v>
      </c>
      <c r="F280" s="20">
        <f t="shared" si="128"/>
        <v>1</v>
      </c>
      <c r="G280" s="189">
        <v>175930</v>
      </c>
      <c r="H280" s="189">
        <f t="shared" si="127"/>
        <v>21991.25</v>
      </c>
      <c r="I280" s="189">
        <v>197904</v>
      </c>
      <c r="J280" s="189">
        <f t="shared" si="129"/>
        <v>70372</v>
      </c>
      <c r="K280" s="189"/>
      <c r="L280" s="189">
        <f t="shared" si="130"/>
        <v>466197.25</v>
      </c>
    </row>
    <row r="281" spans="1:12" s="16" customFormat="1" ht="21.95" customHeight="1">
      <c r="A281" s="201">
        <v>257</v>
      </c>
      <c r="B281" s="162" t="s">
        <v>20</v>
      </c>
      <c r="C281" s="164">
        <v>1</v>
      </c>
      <c r="D281" s="164">
        <v>1</v>
      </c>
      <c r="E281" s="20">
        <v>0</v>
      </c>
      <c r="F281" s="20">
        <f t="shared" si="128"/>
        <v>1</v>
      </c>
      <c r="G281" s="189">
        <v>175930</v>
      </c>
      <c r="H281" s="189">
        <f t="shared" si="127"/>
        <v>21991.25</v>
      </c>
      <c r="I281" s="189">
        <v>197904</v>
      </c>
      <c r="J281" s="189">
        <f t="shared" si="129"/>
        <v>70372</v>
      </c>
      <c r="K281" s="189"/>
      <c r="L281" s="189">
        <f t="shared" si="130"/>
        <v>466197.25</v>
      </c>
    </row>
    <row r="282" spans="1:12" s="16" customFormat="1" ht="21.95" customHeight="1">
      <c r="A282" s="201">
        <v>258</v>
      </c>
      <c r="B282" s="162" t="s">
        <v>20</v>
      </c>
      <c r="C282" s="164">
        <v>1</v>
      </c>
      <c r="D282" s="164">
        <v>1</v>
      </c>
      <c r="E282" s="20">
        <v>0</v>
      </c>
      <c r="F282" s="20">
        <f t="shared" si="128"/>
        <v>1</v>
      </c>
      <c r="G282" s="189">
        <v>175930</v>
      </c>
      <c r="H282" s="189">
        <f t="shared" si="127"/>
        <v>21991.25</v>
      </c>
      <c r="I282" s="189">
        <v>197904</v>
      </c>
      <c r="J282" s="189">
        <f t="shared" si="129"/>
        <v>70372</v>
      </c>
      <c r="K282" s="189"/>
      <c r="L282" s="189">
        <f t="shared" si="130"/>
        <v>466197.25</v>
      </c>
    </row>
    <row r="283" spans="1:12" s="16" customFormat="1" ht="21.95" customHeight="1">
      <c r="A283" s="201">
        <v>259</v>
      </c>
      <c r="B283" s="162" t="s">
        <v>20</v>
      </c>
      <c r="C283" s="164">
        <v>1</v>
      </c>
      <c r="D283" s="164">
        <v>1</v>
      </c>
      <c r="E283" s="20">
        <v>0</v>
      </c>
      <c r="F283" s="20">
        <f t="shared" si="128"/>
        <v>1</v>
      </c>
      <c r="G283" s="189">
        <v>175930</v>
      </c>
      <c r="H283" s="189">
        <f t="shared" si="127"/>
        <v>21991.25</v>
      </c>
      <c r="I283" s="189">
        <v>197904</v>
      </c>
      <c r="J283" s="189">
        <f t="shared" si="129"/>
        <v>70372</v>
      </c>
      <c r="K283" s="189"/>
      <c r="L283" s="189">
        <f t="shared" si="130"/>
        <v>466197.25</v>
      </c>
    </row>
    <row r="284" spans="1:12" s="16" customFormat="1" ht="21.95" customHeight="1">
      <c r="A284" s="201">
        <v>260</v>
      </c>
      <c r="B284" s="162" t="s">
        <v>20</v>
      </c>
      <c r="C284" s="164">
        <v>1</v>
      </c>
      <c r="D284" s="164">
        <v>1</v>
      </c>
      <c r="E284" s="20">
        <v>0</v>
      </c>
      <c r="F284" s="20">
        <f t="shared" si="128"/>
        <v>1</v>
      </c>
      <c r="G284" s="189">
        <v>175930</v>
      </c>
      <c r="H284" s="189">
        <f t="shared" si="127"/>
        <v>21991.25</v>
      </c>
      <c r="I284" s="189">
        <v>197904</v>
      </c>
      <c r="J284" s="189">
        <f t="shared" si="129"/>
        <v>70372</v>
      </c>
      <c r="K284" s="189"/>
      <c r="L284" s="189">
        <f t="shared" si="130"/>
        <v>466197.25</v>
      </c>
    </row>
    <row r="285" spans="1:12" s="16" customFormat="1" ht="21.95" customHeight="1">
      <c r="A285" s="201">
        <v>261</v>
      </c>
      <c r="B285" s="162" t="s">
        <v>20</v>
      </c>
      <c r="C285" s="164">
        <v>1</v>
      </c>
      <c r="D285" s="164">
        <v>1</v>
      </c>
      <c r="E285" s="20">
        <v>0</v>
      </c>
      <c r="F285" s="20">
        <f t="shared" si="128"/>
        <v>1</v>
      </c>
      <c r="G285" s="189">
        <v>175930</v>
      </c>
      <c r="H285" s="189">
        <f t="shared" si="127"/>
        <v>21991.25</v>
      </c>
      <c r="I285" s="189">
        <v>197904</v>
      </c>
      <c r="J285" s="189">
        <f t="shared" si="129"/>
        <v>70372</v>
      </c>
      <c r="K285" s="189"/>
      <c r="L285" s="189">
        <f t="shared" si="130"/>
        <v>466197.25</v>
      </c>
    </row>
    <row r="286" spans="1:12" s="16" customFormat="1" ht="21.95" customHeight="1">
      <c r="A286" s="201">
        <v>262</v>
      </c>
      <c r="B286" s="162" t="s">
        <v>20</v>
      </c>
      <c r="C286" s="164">
        <v>1</v>
      </c>
      <c r="D286" s="164">
        <v>1</v>
      </c>
      <c r="E286" s="20">
        <v>0</v>
      </c>
      <c r="F286" s="20">
        <f t="shared" si="128"/>
        <v>1</v>
      </c>
      <c r="G286" s="189">
        <v>175930</v>
      </c>
      <c r="H286" s="189">
        <f t="shared" si="127"/>
        <v>21991.25</v>
      </c>
      <c r="I286" s="189">
        <v>197904</v>
      </c>
      <c r="J286" s="189">
        <f t="shared" si="129"/>
        <v>70372</v>
      </c>
      <c r="K286" s="189"/>
      <c r="L286" s="189">
        <f t="shared" si="130"/>
        <v>466197.25</v>
      </c>
    </row>
    <row r="287" spans="1:12" s="16" customFormat="1" ht="21.95" customHeight="1">
      <c r="A287" s="201">
        <v>263</v>
      </c>
      <c r="B287" s="162" t="s">
        <v>20</v>
      </c>
      <c r="C287" s="164">
        <v>1</v>
      </c>
      <c r="D287" s="164">
        <v>1</v>
      </c>
      <c r="E287" s="20">
        <v>0</v>
      </c>
      <c r="F287" s="20">
        <f t="shared" si="128"/>
        <v>1</v>
      </c>
      <c r="G287" s="189">
        <v>175930</v>
      </c>
      <c r="H287" s="189">
        <f t="shared" si="127"/>
        <v>21991.25</v>
      </c>
      <c r="I287" s="189">
        <v>197904</v>
      </c>
      <c r="J287" s="189">
        <f t="shared" si="129"/>
        <v>70372</v>
      </c>
      <c r="K287" s="189"/>
      <c r="L287" s="189">
        <f t="shared" si="130"/>
        <v>466197.25</v>
      </c>
    </row>
    <row r="288" spans="1:12" s="16" customFormat="1" ht="21.95" customHeight="1">
      <c r="A288" s="201">
        <v>264</v>
      </c>
      <c r="B288" s="162" t="s">
        <v>20</v>
      </c>
      <c r="C288" s="164">
        <v>1</v>
      </c>
      <c r="D288" s="164">
        <v>1</v>
      </c>
      <c r="E288" s="20">
        <v>0</v>
      </c>
      <c r="F288" s="20">
        <f t="shared" si="128"/>
        <v>1</v>
      </c>
      <c r="G288" s="189">
        <v>175930</v>
      </c>
      <c r="H288" s="189">
        <f t="shared" si="127"/>
        <v>21991.25</v>
      </c>
      <c r="I288" s="189">
        <v>197904</v>
      </c>
      <c r="J288" s="189">
        <f t="shared" si="129"/>
        <v>70372</v>
      </c>
      <c r="K288" s="189"/>
      <c r="L288" s="189">
        <f t="shared" si="130"/>
        <v>466197.25</v>
      </c>
    </row>
    <row r="289" spans="1:12" s="16" customFormat="1" ht="21.95" customHeight="1">
      <c r="A289" s="201">
        <v>265</v>
      </c>
      <c r="B289" s="162" t="s">
        <v>20</v>
      </c>
      <c r="C289" s="164">
        <v>1</v>
      </c>
      <c r="D289" s="164">
        <v>1</v>
      </c>
      <c r="E289" s="20">
        <v>0</v>
      </c>
      <c r="F289" s="20">
        <f t="shared" si="128"/>
        <v>1</v>
      </c>
      <c r="G289" s="189">
        <v>175930</v>
      </c>
      <c r="H289" s="189">
        <f t="shared" si="127"/>
        <v>21991.25</v>
      </c>
      <c r="I289" s="189">
        <v>197904</v>
      </c>
      <c r="J289" s="189">
        <f t="shared" si="129"/>
        <v>70372</v>
      </c>
      <c r="K289" s="189"/>
      <c r="L289" s="189">
        <f t="shared" si="130"/>
        <v>466197.25</v>
      </c>
    </row>
    <row r="290" spans="1:12" s="16" customFormat="1" ht="21.95" customHeight="1">
      <c r="A290" s="201">
        <v>266</v>
      </c>
      <c r="B290" s="162" t="s">
        <v>20</v>
      </c>
      <c r="C290" s="164">
        <v>1</v>
      </c>
      <c r="D290" s="164">
        <v>1</v>
      </c>
      <c r="E290" s="20">
        <v>0</v>
      </c>
      <c r="F290" s="20">
        <f t="shared" si="128"/>
        <v>1</v>
      </c>
      <c r="G290" s="189">
        <v>175930</v>
      </c>
      <c r="H290" s="189">
        <f t="shared" si="127"/>
        <v>21991.25</v>
      </c>
      <c r="I290" s="189">
        <v>197904</v>
      </c>
      <c r="J290" s="189">
        <f t="shared" si="129"/>
        <v>70372</v>
      </c>
      <c r="K290" s="189"/>
      <c r="L290" s="189">
        <f t="shared" si="130"/>
        <v>466197.25</v>
      </c>
    </row>
    <row r="291" spans="1:12" s="16" customFormat="1" ht="21.95" customHeight="1">
      <c r="A291" s="201">
        <v>267</v>
      </c>
      <c r="B291" s="162" t="s">
        <v>20</v>
      </c>
      <c r="C291" s="164">
        <v>1</v>
      </c>
      <c r="D291" s="164">
        <v>1</v>
      </c>
      <c r="E291" s="20">
        <v>0</v>
      </c>
      <c r="F291" s="20">
        <f t="shared" si="128"/>
        <v>1</v>
      </c>
      <c r="G291" s="189">
        <v>175930</v>
      </c>
      <c r="H291" s="189">
        <f t="shared" si="127"/>
        <v>21991.25</v>
      </c>
      <c r="I291" s="189">
        <v>197904</v>
      </c>
      <c r="J291" s="189">
        <f t="shared" si="129"/>
        <v>70372</v>
      </c>
      <c r="K291" s="189"/>
      <c r="L291" s="189">
        <f t="shared" si="130"/>
        <v>466197.25</v>
      </c>
    </row>
    <row r="292" spans="1:12" s="16" customFormat="1" ht="21.95" customHeight="1">
      <c r="A292" s="201">
        <v>268</v>
      </c>
      <c r="B292" s="162" t="s">
        <v>20</v>
      </c>
      <c r="C292" s="164">
        <v>1</v>
      </c>
      <c r="D292" s="164">
        <v>1</v>
      </c>
      <c r="E292" s="20">
        <v>0</v>
      </c>
      <c r="F292" s="20">
        <f t="shared" si="128"/>
        <v>1</v>
      </c>
      <c r="G292" s="189">
        <v>175930</v>
      </c>
      <c r="H292" s="189">
        <f t="shared" si="127"/>
        <v>21991.25</v>
      </c>
      <c r="I292" s="189">
        <v>197904</v>
      </c>
      <c r="J292" s="189">
        <f t="shared" si="129"/>
        <v>70372</v>
      </c>
      <c r="K292" s="189"/>
      <c r="L292" s="189">
        <f t="shared" si="130"/>
        <v>466197.25</v>
      </c>
    </row>
    <row r="293" spans="1:12" s="16" customFormat="1" ht="21.95" customHeight="1">
      <c r="A293" s="201">
        <v>269</v>
      </c>
      <c r="B293" s="162" t="s">
        <v>20</v>
      </c>
      <c r="C293" s="164">
        <v>1</v>
      </c>
      <c r="D293" s="164">
        <v>1</v>
      </c>
      <c r="E293" s="20">
        <v>0</v>
      </c>
      <c r="F293" s="20">
        <f t="shared" si="128"/>
        <v>1</v>
      </c>
      <c r="G293" s="189">
        <v>175930</v>
      </c>
      <c r="H293" s="189">
        <f t="shared" si="127"/>
        <v>21991.25</v>
      </c>
      <c r="I293" s="189">
        <v>197904</v>
      </c>
      <c r="J293" s="189">
        <f t="shared" si="129"/>
        <v>70372</v>
      </c>
      <c r="K293" s="189"/>
      <c r="L293" s="189">
        <f t="shared" si="130"/>
        <v>466197.25</v>
      </c>
    </row>
    <row r="294" spans="1:12" s="16" customFormat="1" ht="21.95" customHeight="1">
      <c r="A294" s="201">
        <v>270</v>
      </c>
      <c r="B294" s="162" t="s">
        <v>20</v>
      </c>
      <c r="C294" s="164">
        <v>1</v>
      </c>
      <c r="D294" s="164">
        <v>1</v>
      </c>
      <c r="E294" s="20">
        <v>0</v>
      </c>
      <c r="F294" s="20">
        <f t="shared" si="128"/>
        <v>1</v>
      </c>
      <c r="G294" s="189">
        <v>175930</v>
      </c>
      <c r="H294" s="189">
        <f t="shared" si="127"/>
        <v>21991.25</v>
      </c>
      <c r="I294" s="189">
        <v>197904</v>
      </c>
      <c r="J294" s="189">
        <f t="shared" si="129"/>
        <v>70372</v>
      </c>
      <c r="K294" s="189"/>
      <c r="L294" s="189">
        <f t="shared" si="130"/>
        <v>466197.25</v>
      </c>
    </row>
    <row r="295" spans="1:12" s="16" customFormat="1" ht="21.95" customHeight="1">
      <c r="A295" s="201">
        <v>271</v>
      </c>
      <c r="B295" s="162" t="s">
        <v>20</v>
      </c>
      <c r="C295" s="164">
        <v>1</v>
      </c>
      <c r="D295" s="164">
        <v>1</v>
      </c>
      <c r="E295" s="20">
        <v>0</v>
      </c>
      <c r="F295" s="20">
        <f t="shared" si="128"/>
        <v>1</v>
      </c>
      <c r="G295" s="189">
        <v>175930</v>
      </c>
      <c r="H295" s="189">
        <f t="shared" si="127"/>
        <v>21991.25</v>
      </c>
      <c r="I295" s="189">
        <v>197904</v>
      </c>
      <c r="J295" s="189">
        <f t="shared" si="129"/>
        <v>70372</v>
      </c>
      <c r="K295" s="189"/>
      <c r="L295" s="189">
        <f t="shared" si="130"/>
        <v>466197.25</v>
      </c>
    </row>
    <row r="296" spans="1:12" s="16" customFormat="1" ht="21.95" customHeight="1">
      <c r="A296" s="201">
        <v>272</v>
      </c>
      <c r="B296" s="162" t="s">
        <v>20</v>
      </c>
      <c r="C296" s="164">
        <v>1</v>
      </c>
      <c r="D296" s="164">
        <v>1</v>
      </c>
      <c r="E296" s="20">
        <v>0</v>
      </c>
      <c r="F296" s="20">
        <f t="shared" si="128"/>
        <v>1</v>
      </c>
      <c r="G296" s="189">
        <v>175930</v>
      </c>
      <c r="H296" s="189">
        <f t="shared" si="127"/>
        <v>21991.25</v>
      </c>
      <c r="I296" s="189">
        <v>197904</v>
      </c>
      <c r="J296" s="189">
        <f t="shared" si="129"/>
        <v>70372</v>
      </c>
      <c r="K296" s="189"/>
      <c r="L296" s="189">
        <f t="shared" si="130"/>
        <v>466197.25</v>
      </c>
    </row>
    <row r="297" spans="1:12" s="16" customFormat="1" ht="21.95" customHeight="1">
      <c r="A297" s="201">
        <v>273</v>
      </c>
      <c r="B297" s="162" t="s">
        <v>20</v>
      </c>
      <c r="C297" s="164">
        <v>1</v>
      </c>
      <c r="D297" s="164">
        <v>1</v>
      </c>
      <c r="E297" s="20">
        <v>0</v>
      </c>
      <c r="F297" s="20">
        <f t="shared" si="128"/>
        <v>1</v>
      </c>
      <c r="G297" s="189">
        <v>175930</v>
      </c>
      <c r="H297" s="189">
        <f t="shared" si="127"/>
        <v>21991.25</v>
      </c>
      <c r="I297" s="189">
        <v>197904</v>
      </c>
      <c r="J297" s="189">
        <f t="shared" si="129"/>
        <v>70372</v>
      </c>
      <c r="K297" s="189"/>
      <c r="L297" s="189">
        <f t="shared" si="130"/>
        <v>466197.25</v>
      </c>
    </row>
    <row r="298" spans="1:12" s="16" customFormat="1" ht="21.95" customHeight="1">
      <c r="A298" s="201">
        <v>274</v>
      </c>
      <c r="B298" s="162" t="s">
        <v>20</v>
      </c>
      <c r="C298" s="164">
        <v>1</v>
      </c>
      <c r="D298" s="164">
        <v>1</v>
      </c>
      <c r="E298" s="20">
        <v>0</v>
      </c>
      <c r="F298" s="20">
        <f t="shared" si="128"/>
        <v>1</v>
      </c>
      <c r="G298" s="189">
        <v>175930</v>
      </c>
      <c r="H298" s="189">
        <f t="shared" ref="H298:H345" si="131">G298*12.5%</f>
        <v>21991.25</v>
      </c>
      <c r="I298" s="189">
        <v>197904</v>
      </c>
      <c r="J298" s="189">
        <f t="shared" si="129"/>
        <v>70372</v>
      </c>
      <c r="K298" s="189"/>
      <c r="L298" s="189">
        <f t="shared" si="130"/>
        <v>466197.25</v>
      </c>
    </row>
    <row r="299" spans="1:12" s="16" customFormat="1" ht="21.95" customHeight="1">
      <c r="A299" s="201">
        <v>275</v>
      </c>
      <c r="B299" s="162" t="s">
        <v>20</v>
      </c>
      <c r="C299" s="164">
        <v>1</v>
      </c>
      <c r="D299" s="164">
        <v>1</v>
      </c>
      <c r="E299" s="20">
        <v>0</v>
      </c>
      <c r="F299" s="20">
        <f t="shared" si="128"/>
        <v>1</v>
      </c>
      <c r="G299" s="189">
        <v>175930</v>
      </c>
      <c r="H299" s="189">
        <f t="shared" si="131"/>
        <v>21991.25</v>
      </c>
      <c r="I299" s="189">
        <v>197904</v>
      </c>
      <c r="J299" s="189">
        <f t="shared" si="129"/>
        <v>70372</v>
      </c>
      <c r="K299" s="189"/>
      <c r="L299" s="189">
        <f t="shared" si="130"/>
        <v>466197.25</v>
      </c>
    </row>
    <row r="300" spans="1:12" s="16" customFormat="1" ht="21.95" customHeight="1">
      <c r="A300" s="201">
        <v>276</v>
      </c>
      <c r="B300" s="162" t="s">
        <v>20</v>
      </c>
      <c r="C300" s="164">
        <v>1</v>
      </c>
      <c r="D300" s="164">
        <v>1</v>
      </c>
      <c r="E300" s="20">
        <v>0</v>
      </c>
      <c r="F300" s="20">
        <f t="shared" si="128"/>
        <v>1</v>
      </c>
      <c r="G300" s="189">
        <v>175930</v>
      </c>
      <c r="H300" s="189">
        <f t="shared" si="131"/>
        <v>21991.25</v>
      </c>
      <c r="I300" s="189">
        <v>197904</v>
      </c>
      <c r="J300" s="189">
        <f t="shared" si="129"/>
        <v>70372</v>
      </c>
      <c r="K300" s="189"/>
      <c r="L300" s="189">
        <f t="shared" si="130"/>
        <v>466197.25</v>
      </c>
    </row>
    <row r="301" spans="1:12" s="16" customFormat="1" ht="21.95" customHeight="1">
      <c r="A301" s="201">
        <v>277</v>
      </c>
      <c r="B301" s="162" t="s">
        <v>20</v>
      </c>
      <c r="C301" s="164">
        <v>1</v>
      </c>
      <c r="D301" s="164">
        <v>1</v>
      </c>
      <c r="E301" s="20">
        <v>0</v>
      </c>
      <c r="F301" s="20">
        <f t="shared" si="128"/>
        <v>1</v>
      </c>
      <c r="G301" s="189">
        <v>175930</v>
      </c>
      <c r="H301" s="189">
        <f t="shared" si="131"/>
        <v>21991.25</v>
      </c>
      <c r="I301" s="189">
        <v>197904</v>
      </c>
      <c r="J301" s="189">
        <f t="shared" si="129"/>
        <v>70372</v>
      </c>
      <c r="K301" s="189"/>
      <c r="L301" s="189">
        <f t="shared" si="130"/>
        <v>466197.25</v>
      </c>
    </row>
    <row r="302" spans="1:12" s="16" customFormat="1" ht="21.95" customHeight="1">
      <c r="A302" s="201">
        <v>278</v>
      </c>
      <c r="B302" s="162" t="s">
        <v>20</v>
      </c>
      <c r="C302" s="164">
        <v>1</v>
      </c>
      <c r="D302" s="164">
        <v>1</v>
      </c>
      <c r="E302" s="20">
        <v>0</v>
      </c>
      <c r="F302" s="20">
        <f t="shared" si="128"/>
        <v>1</v>
      </c>
      <c r="G302" s="189">
        <v>175930</v>
      </c>
      <c r="H302" s="189">
        <f t="shared" si="131"/>
        <v>21991.25</v>
      </c>
      <c r="I302" s="189">
        <v>197904</v>
      </c>
      <c r="J302" s="189">
        <f t="shared" si="129"/>
        <v>70372</v>
      </c>
      <c r="K302" s="189"/>
      <c r="L302" s="189">
        <f t="shared" si="130"/>
        <v>466197.25</v>
      </c>
    </row>
    <row r="303" spans="1:12" s="16" customFormat="1" ht="21.95" customHeight="1">
      <c r="A303" s="201">
        <v>279</v>
      </c>
      <c r="B303" s="162" t="s">
        <v>20</v>
      </c>
      <c r="C303" s="164">
        <v>1</v>
      </c>
      <c r="D303" s="164">
        <v>1</v>
      </c>
      <c r="E303" s="20">
        <v>0</v>
      </c>
      <c r="F303" s="20">
        <f t="shared" si="128"/>
        <v>1</v>
      </c>
      <c r="G303" s="189">
        <v>175930</v>
      </c>
      <c r="H303" s="189">
        <f t="shared" si="131"/>
        <v>21991.25</v>
      </c>
      <c r="I303" s="189">
        <v>197904</v>
      </c>
      <c r="J303" s="189">
        <f t="shared" si="129"/>
        <v>70372</v>
      </c>
      <c r="K303" s="189"/>
      <c r="L303" s="189">
        <f t="shared" si="130"/>
        <v>466197.25</v>
      </c>
    </row>
    <row r="304" spans="1:12" s="16" customFormat="1" ht="21.95" customHeight="1">
      <c r="A304" s="201">
        <v>280</v>
      </c>
      <c r="B304" s="162" t="s">
        <v>20</v>
      </c>
      <c r="C304" s="164">
        <v>1</v>
      </c>
      <c r="D304" s="164">
        <v>1</v>
      </c>
      <c r="E304" s="20">
        <v>0</v>
      </c>
      <c r="F304" s="20">
        <f t="shared" si="128"/>
        <v>1</v>
      </c>
      <c r="G304" s="189">
        <v>175930</v>
      </c>
      <c r="H304" s="189">
        <f t="shared" si="131"/>
        <v>21991.25</v>
      </c>
      <c r="I304" s="189">
        <v>197904</v>
      </c>
      <c r="J304" s="189">
        <f t="shared" si="129"/>
        <v>70372</v>
      </c>
      <c r="K304" s="189"/>
      <c r="L304" s="189">
        <f t="shared" si="130"/>
        <v>466197.25</v>
      </c>
    </row>
    <row r="305" spans="1:12" s="16" customFormat="1" ht="21.95" customHeight="1">
      <c r="A305" s="201">
        <v>281</v>
      </c>
      <c r="B305" s="162" t="s">
        <v>20</v>
      </c>
      <c r="C305" s="164">
        <v>1</v>
      </c>
      <c r="D305" s="164">
        <v>1</v>
      </c>
      <c r="E305" s="20">
        <v>0</v>
      </c>
      <c r="F305" s="20">
        <f t="shared" si="128"/>
        <v>1</v>
      </c>
      <c r="G305" s="189">
        <v>175930</v>
      </c>
      <c r="H305" s="189">
        <f t="shared" si="131"/>
        <v>21991.25</v>
      </c>
      <c r="I305" s="189">
        <v>197904</v>
      </c>
      <c r="J305" s="189">
        <f t="shared" si="129"/>
        <v>70372</v>
      </c>
      <c r="K305" s="189"/>
      <c r="L305" s="189">
        <f t="shared" si="130"/>
        <v>466197.25</v>
      </c>
    </row>
    <row r="306" spans="1:12" s="16" customFormat="1" ht="21.95" customHeight="1">
      <c r="A306" s="201">
        <v>282</v>
      </c>
      <c r="B306" s="162" t="s">
        <v>20</v>
      </c>
      <c r="C306" s="164">
        <v>1</v>
      </c>
      <c r="D306" s="164">
        <v>1</v>
      </c>
      <c r="E306" s="20">
        <v>0</v>
      </c>
      <c r="F306" s="20">
        <f t="shared" si="128"/>
        <v>1</v>
      </c>
      <c r="G306" s="189">
        <v>175930</v>
      </c>
      <c r="H306" s="189">
        <f t="shared" si="131"/>
        <v>21991.25</v>
      </c>
      <c r="I306" s="189">
        <v>197904</v>
      </c>
      <c r="J306" s="189">
        <f t="shared" si="129"/>
        <v>70372</v>
      </c>
      <c r="K306" s="189"/>
      <c r="L306" s="189">
        <f t="shared" si="130"/>
        <v>466197.25</v>
      </c>
    </row>
    <row r="307" spans="1:12" s="16" customFormat="1" ht="21.95" customHeight="1">
      <c r="A307" s="201">
        <v>283</v>
      </c>
      <c r="B307" s="162" t="s">
        <v>20</v>
      </c>
      <c r="C307" s="164">
        <v>1</v>
      </c>
      <c r="D307" s="164">
        <v>1</v>
      </c>
      <c r="E307" s="20">
        <v>0</v>
      </c>
      <c r="F307" s="20">
        <f t="shared" si="128"/>
        <v>1</v>
      </c>
      <c r="G307" s="189">
        <v>175930</v>
      </c>
      <c r="H307" s="189">
        <f t="shared" si="131"/>
        <v>21991.25</v>
      </c>
      <c r="I307" s="189">
        <v>197904</v>
      </c>
      <c r="J307" s="189">
        <f t="shared" si="129"/>
        <v>70372</v>
      </c>
      <c r="K307" s="189"/>
      <c r="L307" s="189">
        <f t="shared" si="130"/>
        <v>466197.25</v>
      </c>
    </row>
    <row r="308" spans="1:12" s="16" customFormat="1" ht="21.95" customHeight="1">
      <c r="A308" s="201">
        <v>284</v>
      </c>
      <c r="B308" s="162" t="s">
        <v>20</v>
      </c>
      <c r="C308" s="164">
        <v>1</v>
      </c>
      <c r="D308" s="164">
        <v>1</v>
      </c>
      <c r="E308" s="20">
        <v>0</v>
      </c>
      <c r="F308" s="20">
        <f t="shared" si="128"/>
        <v>1</v>
      </c>
      <c r="G308" s="189">
        <v>175930</v>
      </c>
      <c r="H308" s="189">
        <f t="shared" si="131"/>
        <v>21991.25</v>
      </c>
      <c r="I308" s="189">
        <v>197904</v>
      </c>
      <c r="J308" s="189">
        <f t="shared" si="129"/>
        <v>70372</v>
      </c>
      <c r="K308" s="189"/>
      <c r="L308" s="189">
        <f t="shared" si="130"/>
        <v>466197.25</v>
      </c>
    </row>
    <row r="309" spans="1:12" s="16" customFormat="1" ht="21.95" customHeight="1">
      <c r="A309" s="201">
        <v>285</v>
      </c>
      <c r="B309" s="162" t="s">
        <v>20</v>
      </c>
      <c r="C309" s="164">
        <v>1</v>
      </c>
      <c r="D309" s="164">
        <v>1</v>
      </c>
      <c r="E309" s="20">
        <v>0</v>
      </c>
      <c r="F309" s="20">
        <f t="shared" si="128"/>
        <v>1</v>
      </c>
      <c r="G309" s="189">
        <v>175930</v>
      </c>
      <c r="H309" s="189">
        <f t="shared" si="131"/>
        <v>21991.25</v>
      </c>
      <c r="I309" s="189">
        <v>197904</v>
      </c>
      <c r="J309" s="189">
        <f t="shared" si="129"/>
        <v>70372</v>
      </c>
      <c r="K309" s="189"/>
      <c r="L309" s="189">
        <f t="shared" si="130"/>
        <v>466197.25</v>
      </c>
    </row>
    <row r="310" spans="1:12" s="16" customFormat="1" ht="21.95" customHeight="1">
      <c r="A310" s="201">
        <v>286</v>
      </c>
      <c r="B310" s="162" t="s">
        <v>20</v>
      </c>
      <c r="C310" s="164">
        <v>1</v>
      </c>
      <c r="D310" s="164">
        <v>1</v>
      </c>
      <c r="E310" s="20">
        <v>0</v>
      </c>
      <c r="F310" s="20">
        <f t="shared" si="128"/>
        <v>1</v>
      </c>
      <c r="G310" s="189">
        <v>175930</v>
      </c>
      <c r="H310" s="189">
        <f t="shared" si="131"/>
        <v>21991.25</v>
      </c>
      <c r="I310" s="189">
        <v>197904</v>
      </c>
      <c r="J310" s="189">
        <f t="shared" si="129"/>
        <v>70372</v>
      </c>
      <c r="K310" s="189"/>
      <c r="L310" s="189">
        <f t="shared" si="130"/>
        <v>466197.25</v>
      </c>
    </row>
    <row r="311" spans="1:12" s="16" customFormat="1" ht="21.95" customHeight="1">
      <c r="A311" s="201">
        <v>287</v>
      </c>
      <c r="B311" s="162" t="s">
        <v>20</v>
      </c>
      <c r="C311" s="164">
        <v>1</v>
      </c>
      <c r="D311" s="164">
        <v>1</v>
      </c>
      <c r="E311" s="20">
        <v>0</v>
      </c>
      <c r="F311" s="20">
        <f t="shared" si="128"/>
        <v>1</v>
      </c>
      <c r="G311" s="189">
        <v>175930</v>
      </c>
      <c r="H311" s="189">
        <f t="shared" si="131"/>
        <v>21991.25</v>
      </c>
      <c r="I311" s="189">
        <v>197904</v>
      </c>
      <c r="J311" s="189">
        <f t="shared" si="129"/>
        <v>70372</v>
      </c>
      <c r="K311" s="189"/>
      <c r="L311" s="189">
        <f t="shared" si="130"/>
        <v>466197.25</v>
      </c>
    </row>
    <row r="312" spans="1:12" s="16" customFormat="1" ht="21.95" customHeight="1">
      <c r="A312" s="201">
        <v>288</v>
      </c>
      <c r="B312" s="162" t="s">
        <v>20</v>
      </c>
      <c r="C312" s="164">
        <v>1</v>
      </c>
      <c r="D312" s="164">
        <v>1</v>
      </c>
      <c r="E312" s="20">
        <v>0</v>
      </c>
      <c r="F312" s="20">
        <f t="shared" si="128"/>
        <v>1</v>
      </c>
      <c r="G312" s="189">
        <v>175930</v>
      </c>
      <c r="H312" s="189">
        <f t="shared" si="131"/>
        <v>21991.25</v>
      </c>
      <c r="I312" s="189">
        <v>197904</v>
      </c>
      <c r="J312" s="189">
        <f t="shared" si="129"/>
        <v>70372</v>
      </c>
      <c r="K312" s="189"/>
      <c r="L312" s="189">
        <f t="shared" si="130"/>
        <v>466197.25</v>
      </c>
    </row>
    <row r="313" spans="1:12" s="16" customFormat="1" ht="21.95" customHeight="1">
      <c r="A313" s="201">
        <v>289</v>
      </c>
      <c r="B313" s="162" t="s">
        <v>20</v>
      </c>
      <c r="C313" s="164">
        <v>1</v>
      </c>
      <c r="D313" s="164">
        <v>1</v>
      </c>
      <c r="E313" s="20">
        <v>0</v>
      </c>
      <c r="F313" s="20">
        <f t="shared" si="128"/>
        <v>1</v>
      </c>
      <c r="G313" s="189">
        <v>175930</v>
      </c>
      <c r="H313" s="189">
        <f t="shared" si="131"/>
        <v>21991.25</v>
      </c>
      <c r="I313" s="189">
        <v>197904</v>
      </c>
      <c r="J313" s="189">
        <f t="shared" si="129"/>
        <v>70372</v>
      </c>
      <c r="K313" s="189"/>
      <c r="L313" s="189">
        <f t="shared" si="130"/>
        <v>466197.25</v>
      </c>
    </row>
    <row r="314" spans="1:12" s="16" customFormat="1" ht="21.95" customHeight="1">
      <c r="A314" s="201">
        <v>290</v>
      </c>
      <c r="B314" s="162" t="s">
        <v>20</v>
      </c>
      <c r="C314" s="164">
        <v>1</v>
      </c>
      <c r="D314" s="164">
        <v>1</v>
      </c>
      <c r="E314" s="20">
        <v>0</v>
      </c>
      <c r="F314" s="20">
        <f t="shared" si="128"/>
        <v>1</v>
      </c>
      <c r="G314" s="189">
        <v>175930</v>
      </c>
      <c r="H314" s="189">
        <f t="shared" si="131"/>
        <v>21991.25</v>
      </c>
      <c r="I314" s="189">
        <v>197904</v>
      </c>
      <c r="J314" s="189">
        <f t="shared" si="129"/>
        <v>70372</v>
      </c>
      <c r="K314" s="189"/>
      <c r="L314" s="189">
        <f t="shared" si="130"/>
        <v>466197.25</v>
      </c>
    </row>
    <row r="315" spans="1:12" s="16" customFormat="1" ht="21.95" customHeight="1">
      <c r="A315" s="201">
        <v>291</v>
      </c>
      <c r="B315" s="162" t="s">
        <v>20</v>
      </c>
      <c r="C315" s="164">
        <v>1</v>
      </c>
      <c r="D315" s="164">
        <v>1</v>
      </c>
      <c r="E315" s="20">
        <v>0</v>
      </c>
      <c r="F315" s="20">
        <f t="shared" si="128"/>
        <v>1</v>
      </c>
      <c r="G315" s="189">
        <v>175930</v>
      </c>
      <c r="H315" s="189">
        <f t="shared" si="131"/>
        <v>21991.25</v>
      </c>
      <c r="I315" s="189">
        <v>197904</v>
      </c>
      <c r="J315" s="189">
        <f t="shared" si="129"/>
        <v>70372</v>
      </c>
      <c r="K315" s="189"/>
      <c r="L315" s="189">
        <f t="shared" si="130"/>
        <v>466197.25</v>
      </c>
    </row>
    <row r="316" spans="1:12" s="16" customFormat="1" ht="21.95" customHeight="1">
      <c r="A316" s="201">
        <v>292</v>
      </c>
      <c r="B316" s="162" t="s">
        <v>20</v>
      </c>
      <c r="C316" s="164">
        <v>1</v>
      </c>
      <c r="D316" s="164">
        <v>1</v>
      </c>
      <c r="E316" s="20">
        <v>0</v>
      </c>
      <c r="F316" s="20">
        <f t="shared" si="128"/>
        <v>1</v>
      </c>
      <c r="G316" s="189">
        <v>175930</v>
      </c>
      <c r="H316" s="189">
        <f t="shared" si="131"/>
        <v>21991.25</v>
      </c>
      <c r="I316" s="189">
        <v>197904</v>
      </c>
      <c r="J316" s="189">
        <f t="shared" si="129"/>
        <v>70372</v>
      </c>
      <c r="K316" s="189"/>
      <c r="L316" s="189">
        <f t="shared" si="130"/>
        <v>466197.25</v>
      </c>
    </row>
    <row r="317" spans="1:12" s="16" customFormat="1" ht="21.95" customHeight="1">
      <c r="A317" s="201">
        <v>293</v>
      </c>
      <c r="B317" s="162" t="s">
        <v>20</v>
      </c>
      <c r="C317" s="164">
        <v>1</v>
      </c>
      <c r="D317" s="164">
        <v>1</v>
      </c>
      <c r="E317" s="20">
        <v>0</v>
      </c>
      <c r="F317" s="20">
        <f t="shared" si="128"/>
        <v>1</v>
      </c>
      <c r="G317" s="189">
        <v>175930</v>
      </c>
      <c r="H317" s="189">
        <f t="shared" si="131"/>
        <v>21991.25</v>
      </c>
      <c r="I317" s="189">
        <v>197904</v>
      </c>
      <c r="J317" s="189">
        <f t="shared" si="129"/>
        <v>70372</v>
      </c>
      <c r="K317" s="189"/>
      <c r="L317" s="189">
        <f t="shared" si="130"/>
        <v>466197.25</v>
      </c>
    </row>
    <row r="318" spans="1:12" s="16" customFormat="1" ht="21.95" customHeight="1">
      <c r="A318" s="201">
        <v>294</v>
      </c>
      <c r="B318" s="162" t="s">
        <v>20</v>
      </c>
      <c r="C318" s="164">
        <v>1</v>
      </c>
      <c r="D318" s="164">
        <v>1</v>
      </c>
      <c r="E318" s="20">
        <v>0</v>
      </c>
      <c r="F318" s="20">
        <f t="shared" si="128"/>
        <v>1</v>
      </c>
      <c r="G318" s="189">
        <v>175930</v>
      </c>
      <c r="H318" s="189">
        <f t="shared" si="131"/>
        <v>21991.25</v>
      </c>
      <c r="I318" s="189">
        <v>197904</v>
      </c>
      <c r="J318" s="189">
        <f t="shared" si="129"/>
        <v>70372</v>
      </c>
      <c r="K318" s="189"/>
      <c r="L318" s="189">
        <f t="shared" si="130"/>
        <v>466197.25</v>
      </c>
    </row>
    <row r="319" spans="1:12" s="16" customFormat="1" ht="21.95" customHeight="1">
      <c r="A319" s="201">
        <v>295</v>
      </c>
      <c r="B319" s="162" t="s">
        <v>20</v>
      </c>
      <c r="C319" s="164">
        <v>1</v>
      </c>
      <c r="D319" s="164">
        <v>1</v>
      </c>
      <c r="E319" s="20">
        <v>0</v>
      </c>
      <c r="F319" s="20">
        <f t="shared" si="128"/>
        <v>1</v>
      </c>
      <c r="G319" s="189">
        <v>175930</v>
      </c>
      <c r="H319" s="189">
        <f t="shared" si="131"/>
        <v>21991.25</v>
      </c>
      <c r="I319" s="189">
        <v>197904</v>
      </c>
      <c r="J319" s="189">
        <f t="shared" si="129"/>
        <v>70372</v>
      </c>
      <c r="K319" s="189"/>
      <c r="L319" s="189">
        <f t="shared" si="130"/>
        <v>466197.25</v>
      </c>
    </row>
    <row r="320" spans="1:12" s="16" customFormat="1" ht="21.95" customHeight="1">
      <c r="A320" s="201">
        <v>296</v>
      </c>
      <c r="B320" s="162" t="s">
        <v>20</v>
      </c>
      <c r="C320" s="164">
        <v>1</v>
      </c>
      <c r="D320" s="164">
        <v>1</v>
      </c>
      <c r="E320" s="20">
        <v>0</v>
      </c>
      <c r="F320" s="20">
        <f t="shared" si="128"/>
        <v>1</v>
      </c>
      <c r="G320" s="189">
        <v>175930</v>
      </c>
      <c r="H320" s="189">
        <f t="shared" si="131"/>
        <v>21991.25</v>
      </c>
      <c r="I320" s="189">
        <v>197904</v>
      </c>
      <c r="J320" s="189">
        <f t="shared" si="129"/>
        <v>70372</v>
      </c>
      <c r="K320" s="189"/>
      <c r="L320" s="189">
        <f t="shared" si="130"/>
        <v>466197.25</v>
      </c>
    </row>
    <row r="321" spans="1:12" s="16" customFormat="1" ht="21.95" customHeight="1">
      <c r="A321" s="201">
        <v>297</v>
      </c>
      <c r="B321" s="162" t="s">
        <v>20</v>
      </c>
      <c r="C321" s="164">
        <v>1</v>
      </c>
      <c r="D321" s="164">
        <v>1</v>
      </c>
      <c r="E321" s="20">
        <v>0</v>
      </c>
      <c r="F321" s="20">
        <f t="shared" si="128"/>
        <v>1</v>
      </c>
      <c r="G321" s="189">
        <v>3010</v>
      </c>
      <c r="H321" s="189">
        <f t="shared" si="131"/>
        <v>376.25</v>
      </c>
      <c r="I321" s="189">
        <v>0</v>
      </c>
      <c r="J321" s="189">
        <f t="shared" ref="J321:J322" si="132">G321*40%</f>
        <v>1204</v>
      </c>
      <c r="K321" s="189"/>
      <c r="L321" s="189">
        <f t="shared" ref="L321:L322" si="133">SUM(G321:K321)</f>
        <v>4590.25</v>
      </c>
    </row>
    <row r="322" spans="1:12" s="16" customFormat="1" ht="21.95" customHeight="1">
      <c r="A322" s="201">
        <v>298</v>
      </c>
      <c r="B322" s="162" t="s">
        <v>20</v>
      </c>
      <c r="C322" s="164">
        <v>1</v>
      </c>
      <c r="D322" s="164">
        <v>1</v>
      </c>
      <c r="E322" s="20">
        <v>0</v>
      </c>
      <c r="F322" s="20">
        <f t="shared" si="128"/>
        <v>1</v>
      </c>
      <c r="G322" s="189">
        <v>3010</v>
      </c>
      <c r="H322" s="189">
        <f t="shared" si="131"/>
        <v>376.25</v>
      </c>
      <c r="I322" s="189">
        <v>0</v>
      </c>
      <c r="J322" s="189">
        <f t="shared" si="132"/>
        <v>1204</v>
      </c>
      <c r="K322" s="189"/>
      <c r="L322" s="189">
        <f t="shared" si="133"/>
        <v>4590.25</v>
      </c>
    </row>
    <row r="323" spans="1:12" s="16" customFormat="1" ht="21.95" customHeight="1">
      <c r="A323" s="201">
        <v>299</v>
      </c>
      <c r="B323" s="162" t="s">
        <v>20</v>
      </c>
      <c r="C323" s="164">
        <v>1</v>
      </c>
      <c r="D323" s="164">
        <v>1</v>
      </c>
      <c r="E323" s="20">
        <v>0</v>
      </c>
      <c r="F323" s="20">
        <f t="shared" si="128"/>
        <v>1</v>
      </c>
      <c r="G323" s="189">
        <v>3010</v>
      </c>
      <c r="H323" s="189">
        <f t="shared" si="131"/>
        <v>376.25</v>
      </c>
      <c r="I323" s="189">
        <v>0</v>
      </c>
      <c r="J323" s="189">
        <f t="shared" si="129"/>
        <v>1204</v>
      </c>
      <c r="K323" s="189"/>
      <c r="L323" s="189">
        <f t="shared" si="130"/>
        <v>4590.25</v>
      </c>
    </row>
    <row r="324" spans="1:12" s="16" customFormat="1" ht="21.95" customHeight="1">
      <c r="A324" s="201">
        <v>300</v>
      </c>
      <c r="B324" s="162" t="s">
        <v>20</v>
      </c>
      <c r="C324" s="164">
        <v>1</v>
      </c>
      <c r="D324" s="164">
        <v>1</v>
      </c>
      <c r="E324" s="20">
        <v>0</v>
      </c>
      <c r="F324" s="20">
        <f t="shared" si="128"/>
        <v>1</v>
      </c>
      <c r="G324" s="189">
        <v>3010</v>
      </c>
      <c r="H324" s="189">
        <f t="shared" si="131"/>
        <v>376.25</v>
      </c>
      <c r="I324" s="189">
        <v>0</v>
      </c>
      <c r="J324" s="189">
        <f t="shared" si="129"/>
        <v>1204</v>
      </c>
      <c r="K324" s="189"/>
      <c r="L324" s="189">
        <f t="shared" si="130"/>
        <v>4590.25</v>
      </c>
    </row>
    <row r="325" spans="1:12" s="16" customFormat="1" ht="21.95" customHeight="1">
      <c r="A325" s="201">
        <v>301</v>
      </c>
      <c r="B325" s="162" t="s">
        <v>20</v>
      </c>
      <c r="C325" s="164">
        <v>1</v>
      </c>
      <c r="D325" s="164">
        <v>1</v>
      </c>
      <c r="E325" s="20">
        <v>0</v>
      </c>
      <c r="F325" s="20">
        <f t="shared" si="128"/>
        <v>1</v>
      </c>
      <c r="G325" s="189">
        <v>3010</v>
      </c>
      <c r="H325" s="189">
        <f t="shared" si="131"/>
        <v>376.25</v>
      </c>
      <c r="I325" s="189">
        <v>0</v>
      </c>
      <c r="J325" s="189">
        <f t="shared" si="129"/>
        <v>1204</v>
      </c>
      <c r="K325" s="189"/>
      <c r="L325" s="189">
        <f t="shared" si="130"/>
        <v>4590.25</v>
      </c>
    </row>
    <row r="326" spans="1:12" s="16" customFormat="1" ht="21.95" customHeight="1">
      <c r="A326" s="201">
        <v>302</v>
      </c>
      <c r="B326" s="162" t="s">
        <v>20</v>
      </c>
      <c r="C326" s="164">
        <v>1</v>
      </c>
      <c r="D326" s="164">
        <v>1</v>
      </c>
      <c r="E326" s="20">
        <v>0</v>
      </c>
      <c r="F326" s="20">
        <f t="shared" si="128"/>
        <v>1</v>
      </c>
      <c r="G326" s="189">
        <v>3010</v>
      </c>
      <c r="H326" s="189">
        <f t="shared" si="131"/>
        <v>376.25</v>
      </c>
      <c r="I326" s="189">
        <v>0</v>
      </c>
      <c r="J326" s="189">
        <f t="shared" si="129"/>
        <v>1204</v>
      </c>
      <c r="K326" s="189"/>
      <c r="L326" s="189">
        <f t="shared" si="130"/>
        <v>4590.25</v>
      </c>
    </row>
    <row r="327" spans="1:12" s="16" customFormat="1" ht="21.95" customHeight="1">
      <c r="A327" s="201">
        <v>303</v>
      </c>
      <c r="B327" s="162" t="s">
        <v>20</v>
      </c>
      <c r="C327" s="164">
        <v>1</v>
      </c>
      <c r="D327" s="164">
        <v>1</v>
      </c>
      <c r="E327" s="20">
        <v>0</v>
      </c>
      <c r="F327" s="20">
        <f t="shared" si="128"/>
        <v>1</v>
      </c>
      <c r="G327" s="189">
        <v>3010</v>
      </c>
      <c r="H327" s="189">
        <f t="shared" si="131"/>
        <v>376.25</v>
      </c>
      <c r="I327" s="189">
        <v>0</v>
      </c>
      <c r="J327" s="189">
        <f t="shared" si="129"/>
        <v>1204</v>
      </c>
      <c r="K327" s="189"/>
      <c r="L327" s="189">
        <f t="shared" si="130"/>
        <v>4590.25</v>
      </c>
    </row>
    <row r="328" spans="1:12" s="16" customFormat="1" ht="21.95" customHeight="1">
      <c r="A328" s="201">
        <v>304</v>
      </c>
      <c r="B328" s="162" t="s">
        <v>20</v>
      </c>
      <c r="C328" s="164">
        <v>1</v>
      </c>
      <c r="D328" s="164">
        <v>1</v>
      </c>
      <c r="E328" s="20">
        <v>0</v>
      </c>
      <c r="F328" s="20">
        <f t="shared" si="128"/>
        <v>1</v>
      </c>
      <c r="G328" s="189">
        <v>165610</v>
      </c>
      <c r="H328" s="189">
        <f t="shared" si="131"/>
        <v>20701.25</v>
      </c>
      <c r="I328" s="189">
        <v>199350</v>
      </c>
      <c r="J328" s="189">
        <f t="shared" si="129"/>
        <v>66244</v>
      </c>
      <c r="K328" s="189"/>
      <c r="L328" s="189">
        <f t="shared" si="130"/>
        <v>451905.25</v>
      </c>
    </row>
    <row r="329" spans="1:12" s="16" customFormat="1" ht="21.95" customHeight="1">
      <c r="A329" s="201">
        <v>305</v>
      </c>
      <c r="B329" s="162" t="s">
        <v>20</v>
      </c>
      <c r="C329" s="164">
        <v>1</v>
      </c>
      <c r="D329" s="164">
        <v>1</v>
      </c>
      <c r="E329" s="20">
        <v>0</v>
      </c>
      <c r="F329" s="20">
        <f t="shared" si="128"/>
        <v>1</v>
      </c>
      <c r="G329" s="189">
        <v>165610</v>
      </c>
      <c r="H329" s="189">
        <f t="shared" si="131"/>
        <v>20701.25</v>
      </c>
      <c r="I329" s="189">
        <v>199350</v>
      </c>
      <c r="J329" s="189">
        <f t="shared" si="129"/>
        <v>66244</v>
      </c>
      <c r="K329" s="189"/>
      <c r="L329" s="189">
        <f t="shared" si="130"/>
        <v>451905.25</v>
      </c>
    </row>
    <row r="330" spans="1:12" s="16" customFormat="1" ht="21.95" customHeight="1">
      <c r="A330" s="201">
        <v>306</v>
      </c>
      <c r="B330" s="162" t="s">
        <v>20</v>
      </c>
      <c r="C330" s="164">
        <v>1</v>
      </c>
      <c r="D330" s="164">
        <v>1</v>
      </c>
      <c r="E330" s="20">
        <v>0</v>
      </c>
      <c r="F330" s="20">
        <f t="shared" si="128"/>
        <v>1</v>
      </c>
      <c r="G330" s="189">
        <v>165610</v>
      </c>
      <c r="H330" s="189">
        <f t="shared" si="131"/>
        <v>20701.25</v>
      </c>
      <c r="I330" s="189">
        <v>199350</v>
      </c>
      <c r="J330" s="189">
        <f t="shared" si="129"/>
        <v>66244</v>
      </c>
      <c r="K330" s="189"/>
      <c r="L330" s="189">
        <f t="shared" si="130"/>
        <v>451905.25</v>
      </c>
    </row>
    <row r="331" spans="1:12" s="16" customFormat="1" ht="21.95" customHeight="1">
      <c r="A331" s="201">
        <v>307</v>
      </c>
      <c r="B331" s="162" t="s">
        <v>20</v>
      </c>
      <c r="C331" s="164">
        <v>1</v>
      </c>
      <c r="D331" s="164">
        <v>1</v>
      </c>
      <c r="E331" s="20">
        <v>0</v>
      </c>
      <c r="F331" s="20">
        <f t="shared" si="128"/>
        <v>1</v>
      </c>
      <c r="G331" s="189">
        <v>165610</v>
      </c>
      <c r="H331" s="189">
        <f t="shared" si="131"/>
        <v>20701.25</v>
      </c>
      <c r="I331" s="189">
        <v>199350</v>
      </c>
      <c r="J331" s="189">
        <f t="shared" si="129"/>
        <v>66244</v>
      </c>
      <c r="K331" s="189"/>
      <c r="L331" s="189">
        <f t="shared" si="130"/>
        <v>451905.25</v>
      </c>
    </row>
    <row r="332" spans="1:12" s="16" customFormat="1" ht="21.95" customHeight="1">
      <c r="A332" s="201">
        <v>308</v>
      </c>
      <c r="B332" s="162" t="s">
        <v>20</v>
      </c>
      <c r="C332" s="164">
        <v>1</v>
      </c>
      <c r="D332" s="164">
        <v>1</v>
      </c>
      <c r="E332" s="20">
        <v>0</v>
      </c>
      <c r="F332" s="20">
        <f t="shared" si="128"/>
        <v>1</v>
      </c>
      <c r="G332" s="189">
        <v>165610</v>
      </c>
      <c r="H332" s="189">
        <f t="shared" si="131"/>
        <v>20701.25</v>
      </c>
      <c r="I332" s="189">
        <v>199350</v>
      </c>
      <c r="J332" s="189">
        <f t="shared" si="129"/>
        <v>66244</v>
      </c>
      <c r="K332" s="189"/>
      <c r="L332" s="189">
        <f t="shared" si="130"/>
        <v>451905.25</v>
      </c>
    </row>
    <row r="333" spans="1:12" s="16" customFormat="1" ht="21.95" customHeight="1">
      <c r="A333" s="201">
        <v>309</v>
      </c>
      <c r="B333" s="162" t="s">
        <v>20</v>
      </c>
      <c r="C333" s="164">
        <v>1</v>
      </c>
      <c r="D333" s="164">
        <v>1</v>
      </c>
      <c r="E333" s="20">
        <v>0</v>
      </c>
      <c r="F333" s="20">
        <f t="shared" si="128"/>
        <v>1</v>
      </c>
      <c r="G333" s="189">
        <v>165610</v>
      </c>
      <c r="H333" s="189">
        <f t="shared" si="131"/>
        <v>20701.25</v>
      </c>
      <c r="I333" s="189">
        <v>199350</v>
      </c>
      <c r="J333" s="189">
        <f t="shared" si="129"/>
        <v>66244</v>
      </c>
      <c r="K333" s="189"/>
      <c r="L333" s="189">
        <f t="shared" si="130"/>
        <v>451905.25</v>
      </c>
    </row>
    <row r="334" spans="1:12" s="16" customFormat="1" ht="21.95" customHeight="1">
      <c r="A334" s="201">
        <v>310</v>
      </c>
      <c r="B334" s="162" t="s">
        <v>20</v>
      </c>
      <c r="C334" s="164">
        <v>1</v>
      </c>
      <c r="D334" s="164">
        <v>1</v>
      </c>
      <c r="E334" s="20">
        <v>0</v>
      </c>
      <c r="F334" s="20">
        <f t="shared" si="128"/>
        <v>1</v>
      </c>
      <c r="G334" s="189">
        <v>165610</v>
      </c>
      <c r="H334" s="189">
        <f t="shared" si="131"/>
        <v>20701.25</v>
      </c>
      <c r="I334" s="189">
        <v>199350</v>
      </c>
      <c r="J334" s="189">
        <f t="shared" si="129"/>
        <v>66244</v>
      </c>
      <c r="K334" s="189"/>
      <c r="L334" s="189">
        <f t="shared" si="130"/>
        <v>451905.25</v>
      </c>
    </row>
    <row r="335" spans="1:12" s="16" customFormat="1" ht="21.95" customHeight="1">
      <c r="A335" s="201">
        <v>311</v>
      </c>
      <c r="B335" s="162" t="s">
        <v>20</v>
      </c>
      <c r="C335" s="164">
        <v>1</v>
      </c>
      <c r="D335" s="164">
        <v>1</v>
      </c>
      <c r="E335" s="20">
        <v>0</v>
      </c>
      <c r="F335" s="20">
        <f t="shared" si="128"/>
        <v>1</v>
      </c>
      <c r="G335" s="189">
        <v>165610</v>
      </c>
      <c r="H335" s="189">
        <f t="shared" si="131"/>
        <v>20701.25</v>
      </c>
      <c r="I335" s="189">
        <v>199350</v>
      </c>
      <c r="J335" s="189">
        <f t="shared" si="129"/>
        <v>66244</v>
      </c>
      <c r="K335" s="189"/>
      <c r="L335" s="189">
        <f t="shared" si="130"/>
        <v>451905.25</v>
      </c>
    </row>
    <row r="336" spans="1:12" s="16" customFormat="1" ht="21.95" customHeight="1">
      <c r="A336" s="201">
        <v>312</v>
      </c>
      <c r="B336" s="162" t="s">
        <v>20</v>
      </c>
      <c r="C336" s="164">
        <v>1</v>
      </c>
      <c r="D336" s="164">
        <v>1</v>
      </c>
      <c r="E336" s="20">
        <v>0</v>
      </c>
      <c r="F336" s="20">
        <f t="shared" si="128"/>
        <v>1</v>
      </c>
      <c r="G336" s="189">
        <v>165610</v>
      </c>
      <c r="H336" s="189">
        <f t="shared" si="131"/>
        <v>20701.25</v>
      </c>
      <c r="I336" s="189">
        <v>199350</v>
      </c>
      <c r="J336" s="189">
        <f t="shared" si="129"/>
        <v>66244</v>
      </c>
      <c r="K336" s="189"/>
      <c r="L336" s="189">
        <f t="shared" si="130"/>
        <v>451905.25</v>
      </c>
    </row>
    <row r="337" spans="1:15" s="16" customFormat="1" ht="21.95" customHeight="1">
      <c r="A337" s="201">
        <v>313</v>
      </c>
      <c r="B337" s="162" t="s">
        <v>20</v>
      </c>
      <c r="C337" s="164">
        <v>1</v>
      </c>
      <c r="D337" s="164">
        <v>1</v>
      </c>
      <c r="E337" s="20">
        <v>0</v>
      </c>
      <c r="F337" s="20">
        <f t="shared" si="128"/>
        <v>1</v>
      </c>
      <c r="G337" s="189">
        <v>165610</v>
      </c>
      <c r="H337" s="189">
        <f t="shared" si="131"/>
        <v>20701.25</v>
      </c>
      <c r="I337" s="189">
        <v>199350</v>
      </c>
      <c r="J337" s="189">
        <f t="shared" si="129"/>
        <v>66244</v>
      </c>
      <c r="K337" s="189"/>
      <c r="L337" s="189">
        <f t="shared" si="130"/>
        <v>451905.25</v>
      </c>
    </row>
    <row r="338" spans="1:15" s="16" customFormat="1" ht="21.95" customHeight="1">
      <c r="A338" s="201">
        <v>314</v>
      </c>
      <c r="B338" s="162" t="s">
        <v>20</v>
      </c>
      <c r="C338" s="164">
        <v>1</v>
      </c>
      <c r="D338" s="164">
        <v>1</v>
      </c>
      <c r="E338" s="20">
        <v>0</v>
      </c>
      <c r="F338" s="20">
        <f t="shared" si="128"/>
        <v>1</v>
      </c>
      <c r="G338" s="189">
        <v>165610</v>
      </c>
      <c r="H338" s="189">
        <f t="shared" si="131"/>
        <v>20701.25</v>
      </c>
      <c r="I338" s="189">
        <v>199350</v>
      </c>
      <c r="J338" s="189">
        <f t="shared" si="129"/>
        <v>66244</v>
      </c>
      <c r="K338" s="189"/>
      <c r="L338" s="189">
        <f t="shared" si="130"/>
        <v>451905.25</v>
      </c>
    </row>
    <row r="339" spans="1:15" s="16" customFormat="1" ht="21.95" customHeight="1">
      <c r="A339" s="201">
        <v>315</v>
      </c>
      <c r="B339" s="162" t="s">
        <v>20</v>
      </c>
      <c r="C339" s="164">
        <v>1</v>
      </c>
      <c r="D339" s="164">
        <v>1</v>
      </c>
      <c r="E339" s="20">
        <v>0</v>
      </c>
      <c r="F339" s="20">
        <f t="shared" si="128"/>
        <v>1</v>
      </c>
      <c r="G339" s="189">
        <v>165610</v>
      </c>
      <c r="H339" s="189">
        <f t="shared" si="131"/>
        <v>20701.25</v>
      </c>
      <c r="I339" s="189">
        <v>199350</v>
      </c>
      <c r="J339" s="189">
        <f t="shared" si="129"/>
        <v>66244</v>
      </c>
      <c r="K339" s="189"/>
      <c r="L339" s="189">
        <f t="shared" si="130"/>
        <v>451905.25</v>
      </c>
    </row>
    <row r="340" spans="1:15" s="16" customFormat="1" ht="21.95" customHeight="1">
      <c r="A340" s="201">
        <v>316</v>
      </c>
      <c r="B340" s="162" t="s">
        <v>20</v>
      </c>
      <c r="C340" s="164">
        <v>1</v>
      </c>
      <c r="D340" s="164">
        <v>1</v>
      </c>
      <c r="E340" s="20">
        <v>0</v>
      </c>
      <c r="F340" s="20">
        <f t="shared" si="128"/>
        <v>1</v>
      </c>
      <c r="G340" s="189">
        <v>165610</v>
      </c>
      <c r="H340" s="189">
        <f t="shared" si="131"/>
        <v>20701.25</v>
      </c>
      <c r="I340" s="189">
        <v>199350</v>
      </c>
      <c r="J340" s="189">
        <f t="shared" si="129"/>
        <v>66244</v>
      </c>
      <c r="K340" s="189"/>
      <c r="L340" s="189">
        <f t="shared" si="130"/>
        <v>451905.25</v>
      </c>
    </row>
    <row r="341" spans="1:15" s="16" customFormat="1" ht="21.95" customHeight="1">
      <c r="A341" s="201">
        <v>317</v>
      </c>
      <c r="B341" s="162" t="s">
        <v>20</v>
      </c>
      <c r="C341" s="164">
        <v>1</v>
      </c>
      <c r="D341" s="164">
        <v>1</v>
      </c>
      <c r="E341" s="20">
        <v>0</v>
      </c>
      <c r="F341" s="20">
        <f t="shared" si="128"/>
        <v>1</v>
      </c>
      <c r="G341" s="189">
        <v>165610</v>
      </c>
      <c r="H341" s="189">
        <f t="shared" si="131"/>
        <v>20701.25</v>
      </c>
      <c r="I341" s="189">
        <v>199350</v>
      </c>
      <c r="J341" s="189">
        <f t="shared" si="129"/>
        <v>66244</v>
      </c>
      <c r="K341" s="189"/>
      <c r="L341" s="189">
        <f t="shared" si="130"/>
        <v>451905.25</v>
      </c>
    </row>
    <row r="342" spans="1:15" s="16" customFormat="1" ht="21.95" customHeight="1">
      <c r="A342" s="201">
        <v>318</v>
      </c>
      <c r="B342" s="162" t="s">
        <v>20</v>
      </c>
      <c r="C342" s="164">
        <v>1</v>
      </c>
      <c r="D342" s="164">
        <v>0</v>
      </c>
      <c r="E342" s="20">
        <v>1</v>
      </c>
      <c r="F342" s="20">
        <f t="shared" si="128"/>
        <v>1</v>
      </c>
      <c r="G342" s="189">
        <v>165610</v>
      </c>
      <c r="H342" s="189">
        <f t="shared" si="131"/>
        <v>20701.25</v>
      </c>
      <c r="I342" s="189">
        <v>199350</v>
      </c>
      <c r="J342" s="189">
        <f t="shared" si="129"/>
        <v>66244</v>
      </c>
      <c r="K342" s="189"/>
      <c r="L342" s="189">
        <f t="shared" si="130"/>
        <v>451905.25</v>
      </c>
    </row>
    <row r="343" spans="1:15" s="16" customFormat="1" ht="21.95" customHeight="1">
      <c r="A343" s="201">
        <v>319</v>
      </c>
      <c r="B343" s="162" t="s">
        <v>20</v>
      </c>
      <c r="C343" s="164">
        <v>1</v>
      </c>
      <c r="D343" s="164">
        <v>0</v>
      </c>
      <c r="E343" s="20">
        <v>1</v>
      </c>
      <c r="F343" s="20">
        <f t="shared" ref="F343:F345" si="134">SUM(D343:E343)</f>
        <v>1</v>
      </c>
      <c r="G343" s="189">
        <v>165610</v>
      </c>
      <c r="H343" s="189">
        <f t="shared" si="131"/>
        <v>20701.25</v>
      </c>
      <c r="I343" s="189">
        <v>199350</v>
      </c>
      <c r="J343" s="189">
        <f t="shared" ref="J343:J345" si="135">G343*40%</f>
        <v>66244</v>
      </c>
      <c r="K343" s="189"/>
      <c r="L343" s="189">
        <f t="shared" ref="L343:L345" si="136">SUM(G343:K343)</f>
        <v>451905.25</v>
      </c>
    </row>
    <row r="344" spans="1:15" s="16" customFormat="1" ht="21.95" customHeight="1">
      <c r="A344" s="201">
        <v>320</v>
      </c>
      <c r="B344" s="162" t="s">
        <v>20</v>
      </c>
      <c r="C344" s="164">
        <v>1</v>
      </c>
      <c r="D344" s="164">
        <v>0</v>
      </c>
      <c r="E344" s="20">
        <v>1</v>
      </c>
      <c r="F344" s="20">
        <f t="shared" si="134"/>
        <v>1</v>
      </c>
      <c r="G344" s="189">
        <v>165610</v>
      </c>
      <c r="H344" s="189">
        <f t="shared" si="131"/>
        <v>20701.25</v>
      </c>
      <c r="I344" s="189">
        <v>199350</v>
      </c>
      <c r="J344" s="189">
        <f t="shared" si="135"/>
        <v>66244</v>
      </c>
      <c r="K344" s="189"/>
      <c r="L344" s="189">
        <f t="shared" si="136"/>
        <v>451905.25</v>
      </c>
    </row>
    <row r="345" spans="1:15" s="16" customFormat="1" ht="21.95" customHeight="1">
      <c r="A345" s="201">
        <v>321</v>
      </c>
      <c r="B345" s="162" t="s">
        <v>20</v>
      </c>
      <c r="C345" s="164">
        <v>1</v>
      </c>
      <c r="D345" s="164">
        <v>0</v>
      </c>
      <c r="E345" s="20">
        <v>1</v>
      </c>
      <c r="F345" s="20">
        <f t="shared" si="134"/>
        <v>1</v>
      </c>
      <c r="G345" s="189">
        <v>165610</v>
      </c>
      <c r="H345" s="189">
        <f t="shared" si="131"/>
        <v>20701.25</v>
      </c>
      <c r="I345" s="189">
        <v>199350</v>
      </c>
      <c r="J345" s="189">
        <f t="shared" si="135"/>
        <v>66244</v>
      </c>
      <c r="K345" s="189"/>
      <c r="L345" s="189">
        <f t="shared" si="136"/>
        <v>451905.25</v>
      </c>
    </row>
    <row r="346" spans="1:15" s="16" customFormat="1" ht="21.95" customHeight="1">
      <c r="A346" s="201">
        <v>322</v>
      </c>
      <c r="B346" s="162" t="s">
        <v>20</v>
      </c>
      <c r="C346" s="164">
        <v>1</v>
      </c>
      <c r="D346" s="164">
        <v>0</v>
      </c>
      <c r="E346" s="20">
        <v>1</v>
      </c>
      <c r="F346" s="20">
        <f t="shared" ref="F346" si="137">SUM(D346:E346)</f>
        <v>1</v>
      </c>
      <c r="G346" s="189">
        <v>165610</v>
      </c>
      <c r="H346" s="189">
        <f t="shared" ref="H346" si="138">G346*12.5%</f>
        <v>20701.25</v>
      </c>
      <c r="I346" s="189">
        <v>199350</v>
      </c>
      <c r="J346" s="189">
        <f t="shared" ref="J346" si="139">G346*40%</f>
        <v>66244</v>
      </c>
      <c r="K346" s="189"/>
      <c r="L346" s="189">
        <f t="shared" ref="L346" si="140">SUM(G346:K346)</f>
        <v>451905.25</v>
      </c>
    </row>
    <row r="347" spans="1:15" s="16" customFormat="1" ht="21" customHeight="1">
      <c r="A347" s="274" t="s">
        <v>217</v>
      </c>
      <c r="B347" s="275"/>
      <c r="C347" s="276"/>
      <c r="D347" s="191">
        <f t="shared" ref="D347:L347" si="141">SUM(D106:D346)</f>
        <v>234</v>
      </c>
      <c r="E347" s="191">
        <f t="shared" si="141"/>
        <v>7</v>
      </c>
      <c r="F347" s="191">
        <f t="shared" si="141"/>
        <v>241</v>
      </c>
      <c r="G347" s="191">
        <f t="shared" si="141"/>
        <v>55722400</v>
      </c>
      <c r="H347" s="191">
        <f t="shared" si="141"/>
        <v>6965300</v>
      </c>
      <c r="I347" s="191">
        <f t="shared" si="141"/>
        <v>55988560</v>
      </c>
      <c r="J347" s="191">
        <f t="shared" si="141"/>
        <v>22288960</v>
      </c>
      <c r="K347" s="191">
        <f t="shared" si="141"/>
        <v>392184</v>
      </c>
      <c r="L347" s="191">
        <f t="shared" si="141"/>
        <v>141357404</v>
      </c>
      <c r="M347" s="202"/>
      <c r="N347" s="203"/>
      <c r="O347" s="204"/>
    </row>
    <row r="348" spans="1:15" s="16" customFormat="1" ht="31.5" customHeight="1">
      <c r="A348" s="277" t="s">
        <v>218</v>
      </c>
      <c r="B348" s="278"/>
      <c r="C348" s="279"/>
      <c r="D348" s="198">
        <f t="shared" ref="D348:L348" si="142">SUM(D347,D104,D78,D70,D49,D21,D18)</f>
        <v>311</v>
      </c>
      <c r="E348" s="198">
        <f t="shared" si="142"/>
        <v>12</v>
      </c>
      <c r="F348" s="198">
        <f t="shared" si="142"/>
        <v>323</v>
      </c>
      <c r="G348" s="198">
        <f t="shared" si="142"/>
        <v>86364085</v>
      </c>
      <c r="H348" s="198">
        <f t="shared" si="142"/>
        <v>10795510.625</v>
      </c>
      <c r="I348" s="198">
        <f t="shared" si="142"/>
        <v>73935185</v>
      </c>
      <c r="J348" s="198">
        <f t="shared" si="142"/>
        <v>34470430</v>
      </c>
      <c r="K348" s="198">
        <f t="shared" si="142"/>
        <v>814248</v>
      </c>
      <c r="L348" s="198">
        <f t="shared" si="142"/>
        <v>213219523.375</v>
      </c>
      <c r="M348" s="204"/>
    </row>
    <row r="350" spans="1:15">
      <c r="N350" s="205"/>
    </row>
    <row r="353" spans="7:13">
      <c r="G353" s="206"/>
      <c r="H353" s="206"/>
      <c r="I353" s="206"/>
      <c r="J353" s="206"/>
      <c r="K353" s="206"/>
      <c r="L353" s="206"/>
      <c r="M353" s="205"/>
    </row>
    <row r="358" spans="7:13">
      <c r="I358" s="207"/>
    </row>
  </sheetData>
  <mergeCells count="30">
    <mergeCell ref="L9:L10"/>
    <mergeCell ref="A11:C11"/>
    <mergeCell ref="A3:L3"/>
    <mergeCell ref="A5:L5"/>
    <mergeCell ref="A6:L6"/>
    <mergeCell ref="A7:L7"/>
    <mergeCell ref="H8:J8"/>
    <mergeCell ref="A9:A10"/>
    <mergeCell ref="B9:B10"/>
    <mergeCell ref="C9:C10"/>
    <mergeCell ref="D9:F9"/>
    <mergeCell ref="G9:G10"/>
    <mergeCell ref="A50:C50"/>
    <mergeCell ref="H9:H10"/>
    <mergeCell ref="I9:I10"/>
    <mergeCell ref="J9:J10"/>
    <mergeCell ref="K9:K10"/>
    <mergeCell ref="A18:C18"/>
    <mergeCell ref="A19:C19"/>
    <mergeCell ref="A21:C21"/>
    <mergeCell ref="A22:C22"/>
    <mergeCell ref="A49:C49"/>
    <mergeCell ref="A347:C347"/>
    <mergeCell ref="A348:C348"/>
    <mergeCell ref="A70:C70"/>
    <mergeCell ref="A71:C71"/>
    <mergeCell ref="A78:C78"/>
    <mergeCell ref="A79:C79"/>
    <mergeCell ref="A104:C104"/>
    <mergeCell ref="A105:C105"/>
  </mergeCells>
  <pageMargins left="1" right="0.75" top="1" bottom="1" header="0.75" footer="0.5"/>
  <pageSetup paperSize="41" firstPageNumber="60" orientation="landscape" useFirstPageNumber="1" r:id="rId1"/>
  <headerFooter alignWithMargins="0"/>
  <rowBreaks count="2" manualBreakCount="2">
    <brk id="21" max="11" man="1"/>
    <brk id="7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view="pageBreakPreview" zoomScale="85" zoomScaleNormal="85" zoomScaleSheetLayoutView="85" workbookViewId="0">
      <pane ySplit="7" topLeftCell="A122" activePane="bottomLeft" state="frozen"/>
      <selection activeCell="T24" sqref="T24"/>
      <selection pane="bottomLeft" activeCell="H24" sqref="H24"/>
    </sheetView>
  </sheetViews>
  <sheetFormatPr defaultRowHeight="12.75"/>
  <cols>
    <col min="1" max="1" width="5.5703125" customWidth="1"/>
    <col min="2" max="2" width="31.5703125" customWidth="1"/>
    <col min="3" max="3" width="10.42578125" customWidth="1"/>
    <col min="4" max="4" width="7.7109375" customWidth="1"/>
    <col min="5" max="5" width="6" customWidth="1"/>
    <col min="6" max="6" width="6.85546875" customWidth="1"/>
    <col min="7" max="7" width="7.7109375" customWidth="1"/>
    <col min="8" max="8" width="6.5703125" customWidth="1"/>
    <col min="9" max="9" width="7.85546875" customWidth="1"/>
    <col min="10" max="10" width="6.7109375" customWidth="1"/>
    <col min="11" max="11" width="6.42578125" customWidth="1"/>
    <col min="12" max="12" width="7.28515625" customWidth="1"/>
    <col min="13" max="13" width="6.140625" customWidth="1"/>
    <col min="14" max="14" width="6.42578125" customWidth="1"/>
    <col min="15" max="15" width="8.140625" customWidth="1"/>
    <col min="16" max="16" width="7.42578125" customWidth="1"/>
    <col min="17" max="17" width="5.7109375" customWidth="1"/>
    <col min="18" max="18" width="8.42578125" customWidth="1"/>
  </cols>
  <sheetData>
    <row r="1" spans="1:18" s="2" customFormat="1" ht="16.5">
      <c r="A1" s="312" t="s">
        <v>221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s="2" customFormat="1" ht="23.25">
      <c r="A2" s="302" t="s">
        <v>219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s="2" customFormat="1" ht="18" customHeight="1">
      <c r="A3" s="304" t="s">
        <v>220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s="2" customFormat="1" ht="24" customHeight="1">
      <c r="A4" s="313" t="s">
        <v>222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18" ht="12" customHeight="1">
      <c r="A5" s="293" t="s">
        <v>69</v>
      </c>
      <c r="B5" s="314" t="s">
        <v>3</v>
      </c>
      <c r="C5" s="293" t="s">
        <v>2</v>
      </c>
      <c r="D5" s="309" t="s">
        <v>4</v>
      </c>
      <c r="E5" s="309"/>
      <c r="F5" s="309"/>
      <c r="G5" s="309" t="s">
        <v>5</v>
      </c>
      <c r="H5" s="309"/>
      <c r="I5" s="309"/>
      <c r="J5" s="309" t="s">
        <v>223</v>
      </c>
      <c r="K5" s="309"/>
      <c r="L5" s="309"/>
      <c r="M5" s="293" t="s">
        <v>224</v>
      </c>
      <c r="N5" s="309"/>
      <c r="O5" s="309"/>
      <c r="P5" s="293" t="s">
        <v>116</v>
      </c>
      <c r="Q5" s="309"/>
      <c r="R5" s="309"/>
    </row>
    <row r="6" spans="1:18" ht="45.75" customHeight="1">
      <c r="A6" s="293"/>
      <c r="B6" s="314"/>
      <c r="C6" s="293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</row>
    <row r="7" spans="1:18" ht="40.5" customHeight="1">
      <c r="A7" s="293"/>
      <c r="B7" s="314"/>
      <c r="C7" s="293"/>
      <c r="D7" s="208" t="s">
        <v>7</v>
      </c>
      <c r="E7" s="208" t="s">
        <v>8</v>
      </c>
      <c r="F7" s="208" t="s">
        <v>1</v>
      </c>
      <c r="G7" s="208" t="s">
        <v>7</v>
      </c>
      <c r="H7" s="208" t="s">
        <v>8</v>
      </c>
      <c r="I7" s="208" t="s">
        <v>1</v>
      </c>
      <c r="J7" s="208" t="s">
        <v>7</v>
      </c>
      <c r="K7" s="208" t="s">
        <v>8</v>
      </c>
      <c r="L7" s="208" t="s">
        <v>1</v>
      </c>
      <c r="M7" s="208" t="s">
        <v>7</v>
      </c>
      <c r="N7" s="208" t="s">
        <v>8</v>
      </c>
      <c r="O7" s="208" t="s">
        <v>1</v>
      </c>
      <c r="P7" s="208" t="s">
        <v>7</v>
      </c>
      <c r="Q7" s="208" t="s">
        <v>8</v>
      </c>
      <c r="R7" s="208" t="s">
        <v>1</v>
      </c>
    </row>
    <row r="8" spans="1:18" ht="23.25" customHeight="1">
      <c r="A8" s="210">
        <v>1</v>
      </c>
      <c r="B8" s="161" t="s">
        <v>204</v>
      </c>
      <c r="C8" s="163" t="s">
        <v>45</v>
      </c>
      <c r="D8" s="164">
        <v>1</v>
      </c>
      <c r="E8" s="19">
        <v>0</v>
      </c>
      <c r="F8" s="19">
        <f t="shared" ref="F8:F14" si="0">SUM(D8:E8)</f>
        <v>1</v>
      </c>
      <c r="G8" s="19">
        <v>1</v>
      </c>
      <c r="H8" s="19">
        <v>0</v>
      </c>
      <c r="I8" s="19">
        <f>G8+H8</f>
        <v>1</v>
      </c>
      <c r="J8" s="19">
        <v>0</v>
      </c>
      <c r="K8" s="19">
        <v>0</v>
      </c>
      <c r="L8" s="19">
        <f t="shared" ref="L8:L14" si="1">J8</f>
        <v>0</v>
      </c>
      <c r="M8" s="19">
        <v>0</v>
      </c>
      <c r="N8" s="19">
        <v>0</v>
      </c>
      <c r="O8" s="19">
        <v>0</v>
      </c>
      <c r="P8" s="20">
        <f t="shared" ref="P8" si="2">SUM(I8,L8)</f>
        <v>1</v>
      </c>
      <c r="Q8" s="19"/>
      <c r="R8" s="19">
        <f t="shared" ref="R8:R14" si="3">SUM(P8:Q8)</f>
        <v>1</v>
      </c>
    </row>
    <row r="9" spans="1:18" ht="23.25" customHeight="1">
      <c r="A9" s="210">
        <v>2</v>
      </c>
      <c r="B9" s="161" t="s">
        <v>129</v>
      </c>
      <c r="C9" s="163" t="s">
        <v>45</v>
      </c>
      <c r="D9" s="164">
        <v>1</v>
      </c>
      <c r="E9" s="19">
        <v>0</v>
      </c>
      <c r="F9" s="19">
        <f t="shared" si="0"/>
        <v>1</v>
      </c>
      <c r="G9" s="19">
        <v>0</v>
      </c>
      <c r="H9" s="19">
        <v>0</v>
      </c>
      <c r="I9" s="19">
        <f>G9+H9</f>
        <v>0</v>
      </c>
      <c r="J9" s="19">
        <v>1</v>
      </c>
      <c r="K9" s="19">
        <v>0</v>
      </c>
      <c r="L9" s="19">
        <f t="shared" si="1"/>
        <v>1</v>
      </c>
      <c r="M9" s="19">
        <v>1</v>
      </c>
      <c r="N9" s="19">
        <v>0</v>
      </c>
      <c r="O9" s="19">
        <v>1</v>
      </c>
      <c r="P9" s="20">
        <f>SUM(I9,L9)</f>
        <v>1</v>
      </c>
      <c r="Q9" s="19"/>
      <c r="R9" s="19">
        <f t="shared" si="3"/>
        <v>1</v>
      </c>
    </row>
    <row r="10" spans="1:18" ht="23.25" customHeight="1">
      <c r="A10" s="210">
        <v>3</v>
      </c>
      <c r="B10" s="161" t="s">
        <v>130</v>
      </c>
      <c r="C10" s="163">
        <v>17</v>
      </c>
      <c r="D10" s="164">
        <v>0</v>
      </c>
      <c r="E10" s="20">
        <v>1</v>
      </c>
      <c r="F10" s="20">
        <f t="shared" si="0"/>
        <v>1</v>
      </c>
      <c r="G10" s="20">
        <v>0</v>
      </c>
      <c r="H10" s="20">
        <v>1</v>
      </c>
      <c r="I10" s="20">
        <f>SUM(G10:H10)</f>
        <v>1</v>
      </c>
      <c r="J10" s="20">
        <f>F10-I10</f>
        <v>0</v>
      </c>
      <c r="K10" s="20">
        <v>0</v>
      </c>
      <c r="L10" s="20">
        <f t="shared" si="1"/>
        <v>0</v>
      </c>
      <c r="M10" s="20">
        <v>0</v>
      </c>
      <c r="N10" s="20">
        <v>0</v>
      </c>
      <c r="O10" s="20">
        <f>SUM(M10:N10)</f>
        <v>0</v>
      </c>
      <c r="P10" s="20">
        <v>0</v>
      </c>
      <c r="Q10" s="20">
        <v>1</v>
      </c>
      <c r="R10" s="20">
        <f t="shared" si="3"/>
        <v>1</v>
      </c>
    </row>
    <row r="11" spans="1:18" ht="23.25" customHeight="1">
      <c r="A11" s="210">
        <v>4</v>
      </c>
      <c r="B11" s="161" t="s">
        <v>186</v>
      </c>
      <c r="C11" s="163">
        <v>17</v>
      </c>
      <c r="D11" s="164">
        <v>0</v>
      </c>
      <c r="E11" s="20">
        <v>1</v>
      </c>
      <c r="F11" s="20">
        <f t="shared" si="0"/>
        <v>1</v>
      </c>
      <c r="G11" s="20">
        <v>0</v>
      </c>
      <c r="H11" s="20">
        <v>1</v>
      </c>
      <c r="I11" s="20">
        <f>SUM(G11:H11)</f>
        <v>1</v>
      </c>
      <c r="J11" s="20">
        <f>F11-I11</f>
        <v>0</v>
      </c>
      <c r="K11" s="20">
        <v>0</v>
      </c>
      <c r="L11" s="20">
        <f t="shared" si="1"/>
        <v>0</v>
      </c>
      <c r="M11" s="20">
        <v>0</v>
      </c>
      <c r="N11" s="20">
        <v>0</v>
      </c>
      <c r="O11" s="20">
        <f>SUM(M11:N11)</f>
        <v>0</v>
      </c>
      <c r="P11" s="20">
        <v>0</v>
      </c>
      <c r="Q11" s="20">
        <v>1</v>
      </c>
      <c r="R11" s="20">
        <f t="shared" si="3"/>
        <v>1</v>
      </c>
    </row>
    <row r="12" spans="1:18" ht="23.25" customHeight="1">
      <c r="A12" s="210">
        <v>5</v>
      </c>
      <c r="B12" s="161" t="s">
        <v>202</v>
      </c>
      <c r="C12" s="163">
        <v>17</v>
      </c>
      <c r="D12" s="164">
        <v>1</v>
      </c>
      <c r="E12" s="19">
        <v>0</v>
      </c>
      <c r="F12" s="19">
        <f t="shared" si="0"/>
        <v>1</v>
      </c>
      <c r="G12" s="19">
        <v>1</v>
      </c>
      <c r="H12" s="19">
        <v>0</v>
      </c>
      <c r="I12" s="19">
        <f>G12+H12</f>
        <v>1</v>
      </c>
      <c r="J12" s="19">
        <v>0</v>
      </c>
      <c r="K12" s="19">
        <v>0</v>
      </c>
      <c r="L12" s="19">
        <f t="shared" si="1"/>
        <v>0</v>
      </c>
      <c r="M12" s="19">
        <v>0</v>
      </c>
      <c r="N12" s="19">
        <v>0</v>
      </c>
      <c r="O12" s="19">
        <v>0</v>
      </c>
      <c r="P12" s="20">
        <v>1</v>
      </c>
      <c r="Q12" s="19">
        <v>0</v>
      </c>
      <c r="R12" s="19">
        <f t="shared" si="3"/>
        <v>1</v>
      </c>
    </row>
    <row r="13" spans="1:18" ht="23.25" customHeight="1">
      <c r="A13" s="210">
        <v>6</v>
      </c>
      <c r="B13" s="161" t="s">
        <v>188</v>
      </c>
      <c r="C13" s="163">
        <v>17</v>
      </c>
      <c r="D13" s="164">
        <v>1</v>
      </c>
      <c r="E13" s="19">
        <v>0</v>
      </c>
      <c r="F13" s="19">
        <f t="shared" si="0"/>
        <v>1</v>
      </c>
      <c r="G13" s="19">
        <v>1</v>
      </c>
      <c r="H13" s="19">
        <v>0</v>
      </c>
      <c r="I13" s="19">
        <f>SUM(G13:H13)</f>
        <v>1</v>
      </c>
      <c r="J13" s="19">
        <f>F13-I13</f>
        <v>0</v>
      </c>
      <c r="K13" s="19">
        <v>0</v>
      </c>
      <c r="L13" s="19">
        <f t="shared" si="1"/>
        <v>0</v>
      </c>
      <c r="M13" s="19">
        <v>0</v>
      </c>
      <c r="N13" s="19">
        <v>0</v>
      </c>
      <c r="O13" s="19">
        <v>0</v>
      </c>
      <c r="P13" s="19">
        <f>SUM(I13,L13)</f>
        <v>1</v>
      </c>
      <c r="Q13" s="19"/>
      <c r="R13" s="19">
        <f t="shared" si="3"/>
        <v>1</v>
      </c>
    </row>
    <row r="14" spans="1:18" ht="23.25" customHeight="1">
      <c r="A14" s="210">
        <v>7</v>
      </c>
      <c r="B14" s="161" t="s">
        <v>194</v>
      </c>
      <c r="C14" s="163">
        <v>17</v>
      </c>
      <c r="D14" s="164">
        <v>1</v>
      </c>
      <c r="E14" s="20">
        <v>0</v>
      </c>
      <c r="F14" s="20">
        <f t="shared" si="0"/>
        <v>1</v>
      </c>
      <c r="G14" s="20">
        <v>1</v>
      </c>
      <c r="H14" s="20">
        <v>0</v>
      </c>
      <c r="I14" s="20">
        <f>SUM(G14:H14)</f>
        <v>1</v>
      </c>
      <c r="J14" s="20">
        <f>F14-I14</f>
        <v>0</v>
      </c>
      <c r="K14" s="20">
        <v>0</v>
      </c>
      <c r="L14" s="20">
        <f t="shared" si="1"/>
        <v>0</v>
      </c>
      <c r="M14" s="20">
        <v>0</v>
      </c>
      <c r="N14" s="20">
        <v>0</v>
      </c>
      <c r="O14" s="20">
        <f>SUM(M14:N14)</f>
        <v>0</v>
      </c>
      <c r="P14" s="20">
        <f>SUM(I14,L14)</f>
        <v>1</v>
      </c>
      <c r="Q14" s="20"/>
      <c r="R14" s="20">
        <f t="shared" si="3"/>
        <v>1</v>
      </c>
    </row>
    <row r="15" spans="1:18" ht="23.25" customHeight="1">
      <c r="A15" s="210">
        <v>8</v>
      </c>
      <c r="B15" s="161" t="s">
        <v>18</v>
      </c>
      <c r="C15" s="163">
        <v>17</v>
      </c>
      <c r="D15" s="164">
        <v>1</v>
      </c>
      <c r="E15" s="20">
        <v>0</v>
      </c>
      <c r="F15" s="20">
        <v>1</v>
      </c>
      <c r="G15" s="20">
        <v>0</v>
      </c>
      <c r="H15" s="20">
        <v>0</v>
      </c>
      <c r="I15" s="20">
        <v>0</v>
      </c>
      <c r="J15" s="20">
        <v>1</v>
      </c>
      <c r="K15" s="20">
        <v>0</v>
      </c>
      <c r="L15" s="20">
        <v>1</v>
      </c>
      <c r="M15" s="20">
        <v>1</v>
      </c>
      <c r="N15" s="20">
        <v>0</v>
      </c>
      <c r="O15" s="20">
        <v>1</v>
      </c>
      <c r="P15" s="20">
        <v>1</v>
      </c>
      <c r="Q15" s="20">
        <v>0</v>
      </c>
      <c r="R15" s="20">
        <v>1</v>
      </c>
    </row>
    <row r="16" spans="1:18" ht="23.25" customHeight="1">
      <c r="A16" s="210">
        <v>9</v>
      </c>
      <c r="B16" s="162" t="s">
        <v>95</v>
      </c>
      <c r="C16" s="164" t="s">
        <v>181</v>
      </c>
      <c r="D16" s="164">
        <v>1</v>
      </c>
      <c r="E16" s="20">
        <v>0</v>
      </c>
      <c r="F16" s="20">
        <f>SUM(D16:E16)</f>
        <v>1</v>
      </c>
      <c r="G16" s="20">
        <v>1</v>
      </c>
      <c r="H16" s="20">
        <v>0</v>
      </c>
      <c r="I16" s="20">
        <f>SUM(G16:H16)</f>
        <v>1</v>
      </c>
      <c r="J16" s="20">
        <f>F16-I16</f>
        <v>0</v>
      </c>
      <c r="K16" s="20">
        <v>0</v>
      </c>
      <c r="L16" s="20">
        <f>J16</f>
        <v>0</v>
      </c>
      <c r="M16" s="20">
        <v>0</v>
      </c>
      <c r="N16" s="20">
        <v>0</v>
      </c>
      <c r="O16" s="20">
        <f>SUM(M16:N16)</f>
        <v>0</v>
      </c>
      <c r="P16" s="20">
        <f>SUM(I16,L16)</f>
        <v>1</v>
      </c>
      <c r="Q16" s="20"/>
      <c r="R16" s="20">
        <f>SUM(P16:Q16)</f>
        <v>1</v>
      </c>
    </row>
    <row r="17" spans="1:18" ht="23.25" customHeight="1">
      <c r="A17" s="210">
        <v>10</v>
      </c>
      <c r="B17" s="162" t="s">
        <v>95</v>
      </c>
      <c r="C17" s="164">
        <v>16</v>
      </c>
      <c r="D17" s="164">
        <v>1</v>
      </c>
      <c r="E17" s="20">
        <v>0</v>
      </c>
      <c r="F17" s="20">
        <f>SUM(D17:E17)</f>
        <v>1</v>
      </c>
      <c r="G17" s="20">
        <v>0</v>
      </c>
      <c r="H17" s="20">
        <v>0</v>
      </c>
      <c r="I17" s="20">
        <f>SUM(G17:H17)</f>
        <v>0</v>
      </c>
      <c r="J17" s="20">
        <f>F17-I17</f>
        <v>1</v>
      </c>
      <c r="K17" s="20">
        <v>0</v>
      </c>
      <c r="L17" s="20">
        <f>J17</f>
        <v>1</v>
      </c>
      <c r="M17" s="20">
        <v>1</v>
      </c>
      <c r="N17" s="20">
        <v>0</v>
      </c>
      <c r="O17" s="20">
        <f>SUM(M17:N17)</f>
        <v>1</v>
      </c>
      <c r="P17" s="20">
        <f>SUM(I17,L17)</f>
        <v>1</v>
      </c>
      <c r="Q17" s="20"/>
      <c r="R17" s="20">
        <f>SUM(P17:Q17)</f>
        <v>1</v>
      </c>
    </row>
    <row r="18" spans="1:18" ht="23.25" customHeight="1">
      <c r="A18" s="210">
        <v>11</v>
      </c>
      <c r="B18" s="161" t="s">
        <v>95</v>
      </c>
      <c r="C18" s="163">
        <v>16</v>
      </c>
      <c r="D18" s="164">
        <v>1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1</v>
      </c>
      <c r="K18" s="20">
        <v>0</v>
      </c>
      <c r="L18" s="20">
        <v>1</v>
      </c>
      <c r="M18" s="20">
        <v>1</v>
      </c>
      <c r="N18" s="20">
        <v>0</v>
      </c>
      <c r="O18" s="20">
        <v>1</v>
      </c>
      <c r="P18" s="20">
        <v>1</v>
      </c>
      <c r="Q18" s="20">
        <v>0</v>
      </c>
      <c r="R18" s="20">
        <v>1</v>
      </c>
    </row>
    <row r="19" spans="1:18" ht="23.25" customHeight="1">
      <c r="A19" s="210">
        <v>12</v>
      </c>
      <c r="B19" s="162" t="s">
        <v>195</v>
      </c>
      <c r="C19" s="164">
        <v>16</v>
      </c>
      <c r="D19" s="164">
        <v>2</v>
      </c>
      <c r="E19" s="20">
        <v>0</v>
      </c>
      <c r="F19" s="20">
        <f>SUM(D19:E19)</f>
        <v>2</v>
      </c>
      <c r="G19" s="20">
        <v>0</v>
      </c>
      <c r="H19" s="20">
        <v>0</v>
      </c>
      <c r="I19" s="20">
        <f>SUM(G19:H19)</f>
        <v>0</v>
      </c>
      <c r="J19" s="20">
        <f>F19-I19</f>
        <v>2</v>
      </c>
      <c r="K19" s="20">
        <v>0</v>
      </c>
      <c r="L19" s="20">
        <f>J19</f>
        <v>2</v>
      </c>
      <c r="M19" s="20">
        <v>2</v>
      </c>
      <c r="N19" s="20">
        <v>0</v>
      </c>
      <c r="O19" s="20">
        <f>SUM(M19:N19)</f>
        <v>2</v>
      </c>
      <c r="P19" s="20">
        <f>SUM(I19,L19)</f>
        <v>2</v>
      </c>
      <c r="Q19" s="20"/>
      <c r="R19" s="20">
        <f>SUM(P19:Q19)</f>
        <v>2</v>
      </c>
    </row>
    <row r="20" spans="1:18" ht="23.25" customHeight="1">
      <c r="A20" s="210">
        <v>13</v>
      </c>
      <c r="B20" s="162" t="s">
        <v>136</v>
      </c>
      <c r="C20" s="164">
        <v>15</v>
      </c>
      <c r="D20" s="164">
        <v>1</v>
      </c>
      <c r="E20" s="20">
        <v>0</v>
      </c>
      <c r="F20" s="20">
        <v>1</v>
      </c>
      <c r="G20" s="20">
        <v>0</v>
      </c>
      <c r="H20" s="20">
        <v>0</v>
      </c>
      <c r="I20" s="20">
        <v>0</v>
      </c>
      <c r="J20" s="20">
        <v>1</v>
      </c>
      <c r="K20" s="20">
        <v>0</v>
      </c>
      <c r="L20" s="20">
        <v>1</v>
      </c>
      <c r="M20" s="20">
        <v>1</v>
      </c>
      <c r="N20" s="20">
        <v>0</v>
      </c>
      <c r="O20" s="20">
        <v>1</v>
      </c>
      <c r="P20" s="20">
        <v>1</v>
      </c>
      <c r="Q20" s="20">
        <v>0</v>
      </c>
      <c r="R20" s="20">
        <v>1</v>
      </c>
    </row>
    <row r="21" spans="1:18" ht="23.25" customHeight="1">
      <c r="A21" s="210">
        <v>14</v>
      </c>
      <c r="B21" s="162" t="s">
        <v>189</v>
      </c>
      <c r="C21" s="164">
        <v>15</v>
      </c>
      <c r="D21" s="165">
        <v>1</v>
      </c>
      <c r="E21" s="19">
        <v>0</v>
      </c>
      <c r="F21" s="19">
        <f>SUM(D21:E21)</f>
        <v>1</v>
      </c>
      <c r="G21" s="19">
        <v>1</v>
      </c>
      <c r="H21" s="19">
        <v>0</v>
      </c>
      <c r="I21" s="19">
        <f>SUM(G21:H21)</f>
        <v>1</v>
      </c>
      <c r="J21" s="19">
        <f>F21-I21</f>
        <v>0</v>
      </c>
      <c r="K21" s="19">
        <v>0</v>
      </c>
      <c r="L21" s="19">
        <f>J21</f>
        <v>0</v>
      </c>
      <c r="M21" s="19">
        <v>0</v>
      </c>
      <c r="N21" s="19">
        <v>0</v>
      </c>
      <c r="O21" s="19">
        <f>SUM(M21:N21)</f>
        <v>0</v>
      </c>
      <c r="P21" s="19">
        <f>SUM(I21,L21)</f>
        <v>1</v>
      </c>
      <c r="Q21" s="19"/>
      <c r="R21" s="19">
        <f>SUM(P21:Q21)</f>
        <v>1</v>
      </c>
    </row>
    <row r="22" spans="1:18" ht="23.25" customHeight="1">
      <c r="A22" s="210">
        <v>15</v>
      </c>
      <c r="B22" s="162" t="s">
        <v>189</v>
      </c>
      <c r="C22" s="164">
        <v>15</v>
      </c>
      <c r="D22" s="164">
        <v>1</v>
      </c>
      <c r="E22" s="20">
        <v>0</v>
      </c>
      <c r="F22" s="20">
        <f>SUM(D22:E22)</f>
        <v>1</v>
      </c>
      <c r="G22" s="20">
        <v>1</v>
      </c>
      <c r="H22" s="20">
        <v>0</v>
      </c>
      <c r="I22" s="20">
        <f>SUM(G22:H22)</f>
        <v>1</v>
      </c>
      <c r="J22" s="20">
        <f>F22-I22</f>
        <v>0</v>
      </c>
      <c r="K22" s="20">
        <v>0</v>
      </c>
      <c r="L22" s="20">
        <f>J22</f>
        <v>0</v>
      </c>
      <c r="M22" s="20">
        <v>0</v>
      </c>
      <c r="N22" s="20">
        <v>0</v>
      </c>
      <c r="O22" s="20">
        <f>SUM(M22:N22)</f>
        <v>0</v>
      </c>
      <c r="P22" s="20">
        <f>SUM(I22,L22)</f>
        <v>1</v>
      </c>
      <c r="Q22" s="20"/>
      <c r="R22" s="20">
        <f>SUM(P22:Q22)</f>
        <v>1</v>
      </c>
    </row>
    <row r="23" spans="1:18" ht="20.100000000000001" customHeight="1">
      <c r="A23" s="210">
        <v>16</v>
      </c>
      <c r="B23" s="162" t="s">
        <v>238</v>
      </c>
      <c r="C23" s="164">
        <v>15</v>
      </c>
      <c r="D23" s="164">
        <v>1</v>
      </c>
      <c r="E23" s="20">
        <v>0</v>
      </c>
      <c r="F23" s="20">
        <f>SUM(D23:E23)</f>
        <v>1</v>
      </c>
      <c r="G23" s="20">
        <v>1</v>
      </c>
      <c r="H23" s="20">
        <v>0</v>
      </c>
      <c r="I23" s="20">
        <f>SUM(G23:H23)</f>
        <v>1</v>
      </c>
      <c r="J23" s="20">
        <f>F23-I23</f>
        <v>0</v>
      </c>
      <c r="K23" s="20">
        <v>0</v>
      </c>
      <c r="L23" s="20">
        <f>J23</f>
        <v>0</v>
      </c>
      <c r="M23" s="20">
        <v>0</v>
      </c>
      <c r="N23" s="20">
        <v>0</v>
      </c>
      <c r="O23" s="20">
        <v>0</v>
      </c>
      <c r="P23" s="20">
        <f>SUM(I23,L23)</f>
        <v>1</v>
      </c>
      <c r="Q23" s="20"/>
      <c r="R23" s="20">
        <f>SUM(P23:Q23)</f>
        <v>1</v>
      </c>
    </row>
    <row r="24" spans="1:18" ht="23.25" customHeight="1">
      <c r="A24" s="210">
        <v>17</v>
      </c>
      <c r="B24" s="162" t="s">
        <v>16</v>
      </c>
      <c r="C24" s="164">
        <v>14</v>
      </c>
      <c r="D24" s="164">
        <v>1</v>
      </c>
      <c r="E24" s="20">
        <v>0</v>
      </c>
      <c r="F24" s="20">
        <f>SUM(D24:E24)</f>
        <v>1</v>
      </c>
      <c r="G24" s="20">
        <v>0</v>
      </c>
      <c r="H24" s="20">
        <v>0</v>
      </c>
      <c r="I24" s="20">
        <f>SUM(G24:H24)</f>
        <v>0</v>
      </c>
      <c r="J24" s="20">
        <f>F24-I24</f>
        <v>1</v>
      </c>
      <c r="K24" s="20">
        <v>0</v>
      </c>
      <c r="L24" s="20">
        <f>J24</f>
        <v>1</v>
      </c>
      <c r="M24" s="20">
        <v>1</v>
      </c>
      <c r="N24" s="20">
        <v>0</v>
      </c>
      <c r="O24" s="20">
        <f>SUM(M24:N24)</f>
        <v>1</v>
      </c>
      <c r="P24" s="20">
        <f>SUM(I24,L24)</f>
        <v>1</v>
      </c>
      <c r="Q24" s="20"/>
      <c r="R24" s="20">
        <f>SUM(P24:Q24)</f>
        <v>1</v>
      </c>
    </row>
    <row r="25" spans="1:18" ht="23.25" customHeight="1">
      <c r="A25" s="210">
        <v>18</v>
      </c>
      <c r="B25" s="162" t="s">
        <v>185</v>
      </c>
      <c r="C25" s="166">
        <v>14</v>
      </c>
      <c r="D25" s="166">
        <v>1</v>
      </c>
      <c r="E25" s="20">
        <v>0</v>
      </c>
      <c r="F25" s="20">
        <v>1</v>
      </c>
      <c r="G25" s="20">
        <v>1</v>
      </c>
      <c r="H25" s="20">
        <v>0</v>
      </c>
      <c r="I25" s="20">
        <f>SUM(G25:H25)</f>
        <v>1</v>
      </c>
      <c r="J25" s="20">
        <f>F25-I25</f>
        <v>0</v>
      </c>
      <c r="K25" s="20">
        <v>0</v>
      </c>
      <c r="L25" s="20">
        <f>J25</f>
        <v>0</v>
      </c>
      <c r="M25" s="20">
        <v>0</v>
      </c>
      <c r="N25" s="20">
        <v>0</v>
      </c>
      <c r="O25" s="20">
        <f>SUM(M25:N25)</f>
        <v>0</v>
      </c>
      <c r="P25" s="20">
        <f>SUM(I25,L25)</f>
        <v>1</v>
      </c>
      <c r="Q25" s="20"/>
      <c r="R25" s="20">
        <f>SUM(P25:Q25)</f>
        <v>1</v>
      </c>
    </row>
    <row r="26" spans="1:18" ht="23.25" customHeight="1">
      <c r="A26" s="210">
        <v>19</v>
      </c>
      <c r="B26" s="162" t="s">
        <v>22</v>
      </c>
      <c r="C26" s="164">
        <v>14</v>
      </c>
      <c r="D26" s="164">
        <v>1</v>
      </c>
      <c r="E26" s="20">
        <v>0</v>
      </c>
      <c r="F26" s="20">
        <v>1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1</v>
      </c>
      <c r="M26" s="20">
        <v>1</v>
      </c>
      <c r="N26" s="20">
        <v>0</v>
      </c>
      <c r="O26" s="20">
        <v>1</v>
      </c>
      <c r="P26" s="20">
        <v>1</v>
      </c>
      <c r="Q26" s="20"/>
      <c r="R26" s="20">
        <v>1</v>
      </c>
    </row>
    <row r="27" spans="1:18" ht="23.25" customHeight="1">
      <c r="A27" s="210">
        <v>20</v>
      </c>
      <c r="B27" s="162" t="s">
        <v>16</v>
      </c>
      <c r="C27" s="164">
        <v>14</v>
      </c>
      <c r="D27" s="164">
        <v>1</v>
      </c>
      <c r="E27" s="20">
        <v>0</v>
      </c>
      <c r="F27" s="20">
        <v>1</v>
      </c>
      <c r="G27" s="20">
        <v>1</v>
      </c>
      <c r="H27" s="20">
        <v>0</v>
      </c>
      <c r="I27" s="20">
        <v>1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1</v>
      </c>
      <c r="Q27" s="20"/>
      <c r="R27" s="20">
        <v>1</v>
      </c>
    </row>
    <row r="28" spans="1:18" ht="23.25" customHeight="1">
      <c r="A28" s="210">
        <v>21</v>
      </c>
      <c r="B28" s="173" t="s">
        <v>185</v>
      </c>
      <c r="C28" s="166">
        <v>14</v>
      </c>
      <c r="D28" s="165">
        <v>1</v>
      </c>
      <c r="E28" s="20">
        <v>0</v>
      </c>
      <c r="F28" s="20">
        <f>SUM(D28:E28)</f>
        <v>1</v>
      </c>
      <c r="G28" s="20">
        <v>1</v>
      </c>
      <c r="H28" s="20">
        <v>0</v>
      </c>
      <c r="I28" s="20">
        <f>SUM(G28:H28)</f>
        <v>1</v>
      </c>
      <c r="J28" s="20">
        <f>F28-I28</f>
        <v>0</v>
      </c>
      <c r="K28" s="20">
        <v>0</v>
      </c>
      <c r="L28" s="20">
        <f>J28</f>
        <v>0</v>
      </c>
      <c r="M28" s="20">
        <v>0</v>
      </c>
      <c r="N28" s="20">
        <v>0</v>
      </c>
      <c r="O28" s="20">
        <f>SUM(M28:N28)</f>
        <v>0</v>
      </c>
      <c r="P28" s="20">
        <f>SUM(I28,L28)</f>
        <v>1</v>
      </c>
      <c r="Q28" s="20"/>
      <c r="R28" s="20">
        <f>SUM(P28:Q28)</f>
        <v>1</v>
      </c>
    </row>
    <row r="29" spans="1:18" ht="23.25" customHeight="1">
      <c r="A29" s="210">
        <v>22</v>
      </c>
      <c r="B29" s="162" t="s">
        <v>139</v>
      </c>
      <c r="C29" s="164" t="s">
        <v>187</v>
      </c>
      <c r="D29" s="164">
        <v>1</v>
      </c>
      <c r="E29" s="20">
        <v>0</v>
      </c>
      <c r="F29" s="20">
        <f>SUM(D29:E29)</f>
        <v>1</v>
      </c>
      <c r="G29" s="20">
        <v>1</v>
      </c>
      <c r="H29" s="20">
        <v>0</v>
      </c>
      <c r="I29" s="20">
        <f>SUM(G29:H29)</f>
        <v>1</v>
      </c>
      <c r="J29" s="20">
        <f>F29-I29</f>
        <v>0</v>
      </c>
      <c r="K29" s="20">
        <v>0</v>
      </c>
      <c r="L29" s="20">
        <f>J29</f>
        <v>0</v>
      </c>
      <c r="M29" s="20">
        <v>0</v>
      </c>
      <c r="N29" s="20">
        <v>0</v>
      </c>
      <c r="O29" s="20">
        <v>0</v>
      </c>
      <c r="P29" s="20">
        <f>SUM(I29,L29)</f>
        <v>1</v>
      </c>
      <c r="Q29" s="20"/>
      <c r="R29" s="20">
        <f>SUM(P29:Q29)</f>
        <v>1</v>
      </c>
    </row>
    <row r="30" spans="1:18" s="16" customFormat="1" ht="31.5" customHeight="1">
      <c r="A30" s="210">
        <v>23</v>
      </c>
      <c r="B30" s="162" t="s">
        <v>137</v>
      </c>
      <c r="C30" s="164" t="s">
        <v>187</v>
      </c>
      <c r="D30" s="164">
        <v>1</v>
      </c>
      <c r="E30" s="20">
        <v>0</v>
      </c>
      <c r="F30" s="20">
        <f>SUM(D30:E30)</f>
        <v>1</v>
      </c>
      <c r="G30" s="20">
        <v>1</v>
      </c>
      <c r="H30" s="20">
        <v>0</v>
      </c>
      <c r="I30" s="20">
        <f>SUM(G30:H30)</f>
        <v>1</v>
      </c>
      <c r="J30" s="20">
        <f>F30-I30</f>
        <v>0</v>
      </c>
      <c r="K30" s="20">
        <v>0</v>
      </c>
      <c r="L30" s="20">
        <f>J30</f>
        <v>0</v>
      </c>
      <c r="M30" s="20">
        <v>0</v>
      </c>
      <c r="N30" s="20">
        <v>0</v>
      </c>
      <c r="O30" s="20">
        <v>0</v>
      </c>
      <c r="P30" s="20">
        <f>SUM(I30,L30)</f>
        <v>1</v>
      </c>
      <c r="Q30" s="20"/>
      <c r="R30" s="20">
        <f>SUM(P30:Q30)</f>
        <v>1</v>
      </c>
    </row>
    <row r="31" spans="1:18" s="16" customFormat="1" ht="33.75" customHeight="1">
      <c r="A31" s="210">
        <v>24</v>
      </c>
      <c r="B31" s="162" t="s">
        <v>100</v>
      </c>
      <c r="C31" s="164" t="s">
        <v>187</v>
      </c>
      <c r="D31" s="166">
        <v>1</v>
      </c>
      <c r="E31" s="20">
        <v>0</v>
      </c>
      <c r="F31" s="20">
        <f>SUM(D31:E31)</f>
        <v>1</v>
      </c>
      <c r="G31" s="20">
        <v>1</v>
      </c>
      <c r="H31" s="20">
        <v>0</v>
      </c>
      <c r="I31" s="20">
        <f>SUM(G31:H31)</f>
        <v>1</v>
      </c>
      <c r="J31" s="20">
        <f>F31-I31</f>
        <v>0</v>
      </c>
      <c r="K31" s="20">
        <v>0</v>
      </c>
      <c r="L31" s="20">
        <f>J31</f>
        <v>0</v>
      </c>
      <c r="M31" s="20">
        <v>0</v>
      </c>
      <c r="N31" s="20">
        <v>0</v>
      </c>
      <c r="O31" s="20">
        <v>0</v>
      </c>
      <c r="P31" s="20">
        <f>SUM(I31,L31)</f>
        <v>1</v>
      </c>
      <c r="Q31" s="20"/>
      <c r="R31" s="20">
        <f>SUM(P31:Q31)</f>
        <v>1</v>
      </c>
    </row>
    <row r="32" spans="1:18" ht="33.75" customHeight="1">
      <c r="A32" s="210">
        <v>25</v>
      </c>
      <c r="B32" s="162" t="s">
        <v>26</v>
      </c>
      <c r="C32" s="164">
        <v>14</v>
      </c>
      <c r="D32" s="166">
        <v>1</v>
      </c>
      <c r="E32" s="170">
        <v>0</v>
      </c>
      <c r="F32" s="19">
        <v>1</v>
      </c>
      <c r="G32" s="19">
        <v>1</v>
      </c>
      <c r="H32" s="19">
        <v>0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>
        <v>1</v>
      </c>
      <c r="Q32" s="19">
        <v>0</v>
      </c>
      <c r="R32" s="19">
        <v>1</v>
      </c>
    </row>
    <row r="33" spans="1:18" ht="23.25" customHeight="1">
      <c r="A33" s="210">
        <v>26</v>
      </c>
      <c r="B33" s="162" t="s">
        <v>16</v>
      </c>
      <c r="C33" s="164">
        <v>14</v>
      </c>
      <c r="D33" s="165">
        <v>1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1</v>
      </c>
      <c r="K33" s="19">
        <v>0</v>
      </c>
      <c r="L33" s="19">
        <v>1</v>
      </c>
      <c r="M33" s="19">
        <v>1</v>
      </c>
      <c r="N33" s="19">
        <v>0</v>
      </c>
      <c r="O33" s="19">
        <v>1</v>
      </c>
      <c r="P33" s="19">
        <v>1</v>
      </c>
      <c r="Q33" s="19">
        <v>0</v>
      </c>
      <c r="R33" s="19">
        <v>1</v>
      </c>
    </row>
    <row r="34" spans="1:18" ht="23.25" customHeight="1">
      <c r="A34" s="210">
        <v>27</v>
      </c>
      <c r="B34" s="162" t="s">
        <v>185</v>
      </c>
      <c r="C34" s="167">
        <v>14</v>
      </c>
      <c r="D34" s="174">
        <v>1</v>
      </c>
      <c r="E34" s="19">
        <v>0</v>
      </c>
      <c r="F34" s="19">
        <f>SUM(D34:E34)</f>
        <v>1</v>
      </c>
      <c r="G34" s="19">
        <v>1</v>
      </c>
      <c r="H34" s="19">
        <v>0</v>
      </c>
      <c r="I34" s="19">
        <f>SUM(G34:H34)</f>
        <v>1</v>
      </c>
      <c r="J34" s="19">
        <f>F34-I34</f>
        <v>0</v>
      </c>
      <c r="K34" s="19">
        <v>0</v>
      </c>
      <c r="L34" s="19">
        <f>J34</f>
        <v>0</v>
      </c>
      <c r="M34" s="19">
        <v>0</v>
      </c>
      <c r="N34" s="19">
        <v>0</v>
      </c>
      <c r="O34" s="19">
        <f>SUM(M34:N34)</f>
        <v>0</v>
      </c>
      <c r="P34" s="19">
        <f>SUM(I34,L34)</f>
        <v>1</v>
      </c>
      <c r="Q34" s="19"/>
      <c r="R34" s="19">
        <f>SUM(P34:Q34)</f>
        <v>1</v>
      </c>
    </row>
    <row r="35" spans="1:18" ht="23.25" customHeight="1">
      <c r="A35" s="210">
        <v>28</v>
      </c>
      <c r="B35" s="162" t="s">
        <v>151</v>
      </c>
      <c r="C35" s="164">
        <v>14</v>
      </c>
      <c r="D35" s="164">
        <v>1</v>
      </c>
      <c r="E35" s="20">
        <v>0</v>
      </c>
      <c r="F35" s="20">
        <v>1</v>
      </c>
      <c r="G35" s="20">
        <v>0</v>
      </c>
      <c r="H35" s="20">
        <v>0</v>
      </c>
      <c r="I35" s="20">
        <v>0</v>
      </c>
      <c r="J35" s="20">
        <v>1</v>
      </c>
      <c r="K35" s="20">
        <v>0</v>
      </c>
      <c r="L35" s="20">
        <v>1</v>
      </c>
      <c r="M35" s="20">
        <v>1</v>
      </c>
      <c r="N35" s="20">
        <v>0</v>
      </c>
      <c r="O35" s="20">
        <v>1</v>
      </c>
      <c r="P35" s="20">
        <v>1</v>
      </c>
      <c r="Q35" s="20">
        <v>0</v>
      </c>
      <c r="R35" s="20">
        <v>1</v>
      </c>
    </row>
    <row r="36" spans="1:18" ht="23.25" customHeight="1">
      <c r="A36" s="210">
        <v>29</v>
      </c>
      <c r="B36" s="162" t="s">
        <v>16</v>
      </c>
      <c r="C36" s="164">
        <v>14</v>
      </c>
      <c r="D36" s="164">
        <v>1</v>
      </c>
      <c r="E36" s="20">
        <v>0</v>
      </c>
      <c r="F36" s="20">
        <v>1</v>
      </c>
      <c r="G36" s="20">
        <v>0</v>
      </c>
      <c r="H36" s="20">
        <v>0</v>
      </c>
      <c r="I36" s="20">
        <v>0</v>
      </c>
      <c r="J36" s="20">
        <v>1</v>
      </c>
      <c r="K36" s="20">
        <v>0</v>
      </c>
      <c r="L36" s="20">
        <v>1</v>
      </c>
      <c r="M36" s="20">
        <v>1</v>
      </c>
      <c r="N36" s="20">
        <v>0</v>
      </c>
      <c r="O36" s="20">
        <v>1</v>
      </c>
      <c r="P36" s="20">
        <v>1</v>
      </c>
      <c r="Q36" s="20">
        <v>0</v>
      </c>
      <c r="R36" s="20">
        <v>1</v>
      </c>
    </row>
    <row r="37" spans="1:18" ht="23.25" customHeight="1">
      <c r="A37" s="210">
        <v>30</v>
      </c>
      <c r="B37" s="162" t="s">
        <v>185</v>
      </c>
      <c r="C37" s="165">
        <v>14</v>
      </c>
      <c r="D37" s="164">
        <v>1</v>
      </c>
      <c r="E37" s="20">
        <v>0</v>
      </c>
      <c r="F37" s="20">
        <f t="shared" ref="F37:F43" si="4">SUM(D37:E37)</f>
        <v>1</v>
      </c>
      <c r="G37" s="20">
        <v>1</v>
      </c>
      <c r="H37" s="20">
        <v>0</v>
      </c>
      <c r="I37" s="20">
        <f t="shared" ref="I37:I43" si="5">SUM(G37:H37)</f>
        <v>1</v>
      </c>
      <c r="J37" s="20">
        <f t="shared" ref="J37:J43" si="6">F37-I37</f>
        <v>0</v>
      </c>
      <c r="K37" s="20">
        <v>0</v>
      </c>
      <c r="L37" s="20">
        <f t="shared" ref="L37:L43" si="7">J37</f>
        <v>0</v>
      </c>
      <c r="M37" s="20">
        <v>0</v>
      </c>
      <c r="N37" s="20">
        <v>0</v>
      </c>
      <c r="O37" s="20">
        <f t="shared" ref="O37:O43" si="8">SUM(M37:N37)</f>
        <v>0</v>
      </c>
      <c r="P37" s="20">
        <f t="shared" ref="P37:P43" si="9">SUM(I37,L37)</f>
        <v>1</v>
      </c>
      <c r="Q37" s="20"/>
      <c r="R37" s="20">
        <f t="shared" ref="R37:R43" si="10">SUM(P37:Q37)</f>
        <v>1</v>
      </c>
    </row>
    <row r="38" spans="1:18" ht="23.25" customHeight="1">
      <c r="A38" s="210">
        <v>31</v>
      </c>
      <c r="B38" s="162" t="s">
        <v>102</v>
      </c>
      <c r="C38" s="164" t="s">
        <v>187</v>
      </c>
      <c r="D38" s="164">
        <v>1</v>
      </c>
      <c r="E38" s="20">
        <v>0</v>
      </c>
      <c r="F38" s="20">
        <f t="shared" si="4"/>
        <v>1</v>
      </c>
      <c r="G38" s="20">
        <v>1</v>
      </c>
      <c r="H38" s="20">
        <v>0</v>
      </c>
      <c r="I38" s="20">
        <f t="shared" si="5"/>
        <v>1</v>
      </c>
      <c r="J38" s="20">
        <f t="shared" si="6"/>
        <v>0</v>
      </c>
      <c r="K38" s="20">
        <v>0</v>
      </c>
      <c r="L38" s="20">
        <f t="shared" si="7"/>
        <v>0</v>
      </c>
      <c r="M38" s="20">
        <v>0</v>
      </c>
      <c r="N38" s="20">
        <v>0</v>
      </c>
      <c r="O38" s="20">
        <f t="shared" si="8"/>
        <v>0</v>
      </c>
      <c r="P38" s="20">
        <f t="shared" si="9"/>
        <v>1</v>
      </c>
      <c r="Q38" s="20"/>
      <c r="R38" s="20">
        <f t="shared" si="10"/>
        <v>1</v>
      </c>
    </row>
    <row r="39" spans="1:18" ht="23.25" customHeight="1">
      <c r="A39" s="210">
        <v>32</v>
      </c>
      <c r="B39" s="162" t="s">
        <v>196</v>
      </c>
      <c r="C39" s="164">
        <v>14</v>
      </c>
      <c r="D39" s="164">
        <v>3</v>
      </c>
      <c r="E39" s="20">
        <v>0</v>
      </c>
      <c r="F39" s="20">
        <f t="shared" si="4"/>
        <v>3</v>
      </c>
      <c r="G39" s="20">
        <v>2</v>
      </c>
      <c r="H39" s="20">
        <v>0</v>
      </c>
      <c r="I39" s="20">
        <f t="shared" si="5"/>
        <v>2</v>
      </c>
      <c r="J39" s="20">
        <f t="shared" si="6"/>
        <v>1</v>
      </c>
      <c r="K39" s="20">
        <v>0</v>
      </c>
      <c r="L39" s="20">
        <f t="shared" si="7"/>
        <v>1</v>
      </c>
      <c r="M39" s="20">
        <v>1</v>
      </c>
      <c r="N39" s="20">
        <v>0</v>
      </c>
      <c r="O39" s="20">
        <f t="shared" si="8"/>
        <v>1</v>
      </c>
      <c r="P39" s="20">
        <f t="shared" si="9"/>
        <v>3</v>
      </c>
      <c r="Q39" s="20"/>
      <c r="R39" s="20">
        <f t="shared" si="10"/>
        <v>3</v>
      </c>
    </row>
    <row r="40" spans="1:18" ht="23.25" customHeight="1">
      <c r="A40" s="210">
        <v>33</v>
      </c>
      <c r="B40" s="162" t="s">
        <v>10</v>
      </c>
      <c r="C40" s="165">
        <v>13</v>
      </c>
      <c r="D40" s="165">
        <v>1</v>
      </c>
      <c r="E40" s="20">
        <v>0</v>
      </c>
      <c r="F40" s="20">
        <f t="shared" si="4"/>
        <v>1</v>
      </c>
      <c r="G40" s="20">
        <v>1</v>
      </c>
      <c r="H40" s="20">
        <v>0</v>
      </c>
      <c r="I40" s="20">
        <f t="shared" si="5"/>
        <v>1</v>
      </c>
      <c r="J40" s="20">
        <f t="shared" si="6"/>
        <v>0</v>
      </c>
      <c r="K40" s="20">
        <v>0</v>
      </c>
      <c r="L40" s="20">
        <f t="shared" si="7"/>
        <v>0</v>
      </c>
      <c r="M40" s="20">
        <v>0</v>
      </c>
      <c r="N40" s="20">
        <v>0</v>
      </c>
      <c r="O40" s="20">
        <f t="shared" si="8"/>
        <v>0</v>
      </c>
      <c r="P40" s="20">
        <f t="shared" si="9"/>
        <v>1</v>
      </c>
      <c r="Q40" s="20"/>
      <c r="R40" s="20">
        <f t="shared" si="10"/>
        <v>1</v>
      </c>
    </row>
    <row r="41" spans="1:18" ht="23.25" customHeight="1">
      <c r="A41" s="210">
        <v>34</v>
      </c>
      <c r="B41" s="162" t="s">
        <v>27</v>
      </c>
      <c r="C41" s="164">
        <v>13</v>
      </c>
      <c r="D41" s="164">
        <v>1</v>
      </c>
      <c r="E41" s="20">
        <v>0</v>
      </c>
      <c r="F41" s="20">
        <f t="shared" si="4"/>
        <v>1</v>
      </c>
      <c r="G41" s="20">
        <v>0</v>
      </c>
      <c r="H41" s="20">
        <v>0</v>
      </c>
      <c r="I41" s="20">
        <f t="shared" si="5"/>
        <v>0</v>
      </c>
      <c r="J41" s="20">
        <f t="shared" si="6"/>
        <v>1</v>
      </c>
      <c r="K41" s="20">
        <v>0</v>
      </c>
      <c r="L41" s="20">
        <f t="shared" si="7"/>
        <v>1</v>
      </c>
      <c r="M41" s="20">
        <v>1</v>
      </c>
      <c r="N41" s="20">
        <v>0</v>
      </c>
      <c r="O41" s="20">
        <f t="shared" si="8"/>
        <v>1</v>
      </c>
      <c r="P41" s="20">
        <f t="shared" si="9"/>
        <v>1</v>
      </c>
      <c r="Q41" s="20"/>
      <c r="R41" s="20">
        <f t="shared" si="10"/>
        <v>1</v>
      </c>
    </row>
    <row r="42" spans="1:18" ht="23.25" customHeight="1">
      <c r="A42" s="210">
        <v>35</v>
      </c>
      <c r="B42" s="162" t="s">
        <v>99</v>
      </c>
      <c r="C42" s="165">
        <v>12</v>
      </c>
      <c r="D42" s="166">
        <v>1</v>
      </c>
      <c r="E42" s="20">
        <v>0</v>
      </c>
      <c r="F42" s="20">
        <f t="shared" si="4"/>
        <v>1</v>
      </c>
      <c r="G42" s="20">
        <v>1</v>
      </c>
      <c r="H42" s="20">
        <v>0</v>
      </c>
      <c r="I42" s="20">
        <f t="shared" si="5"/>
        <v>1</v>
      </c>
      <c r="J42" s="20">
        <f t="shared" si="6"/>
        <v>0</v>
      </c>
      <c r="K42" s="20">
        <v>0</v>
      </c>
      <c r="L42" s="20">
        <f t="shared" si="7"/>
        <v>0</v>
      </c>
      <c r="M42" s="20">
        <v>0</v>
      </c>
      <c r="N42" s="20">
        <v>0</v>
      </c>
      <c r="O42" s="20">
        <f t="shared" si="8"/>
        <v>0</v>
      </c>
      <c r="P42" s="20">
        <f t="shared" si="9"/>
        <v>1</v>
      </c>
      <c r="Q42" s="20"/>
      <c r="R42" s="20">
        <f t="shared" si="10"/>
        <v>1</v>
      </c>
    </row>
    <row r="43" spans="1:18" ht="23.25" customHeight="1">
      <c r="A43" s="210">
        <v>36</v>
      </c>
      <c r="B43" s="162" t="s">
        <v>99</v>
      </c>
      <c r="C43" s="165">
        <v>12</v>
      </c>
      <c r="D43" s="165">
        <v>1</v>
      </c>
      <c r="E43" s="19">
        <v>0</v>
      </c>
      <c r="F43" s="19">
        <f t="shared" si="4"/>
        <v>1</v>
      </c>
      <c r="G43" s="19">
        <v>1</v>
      </c>
      <c r="H43" s="19">
        <v>0</v>
      </c>
      <c r="I43" s="19">
        <f t="shared" si="5"/>
        <v>1</v>
      </c>
      <c r="J43" s="19">
        <f t="shared" si="6"/>
        <v>0</v>
      </c>
      <c r="K43" s="19">
        <v>0</v>
      </c>
      <c r="L43" s="19">
        <f t="shared" si="7"/>
        <v>0</v>
      </c>
      <c r="M43" s="19">
        <v>0</v>
      </c>
      <c r="N43" s="19">
        <v>0</v>
      </c>
      <c r="O43" s="19">
        <f t="shared" si="8"/>
        <v>0</v>
      </c>
      <c r="P43" s="19">
        <f t="shared" si="9"/>
        <v>1</v>
      </c>
      <c r="Q43" s="19"/>
      <c r="R43" s="19">
        <f t="shared" si="10"/>
        <v>1</v>
      </c>
    </row>
    <row r="44" spans="1:18" ht="20.100000000000001" customHeight="1">
      <c r="A44" s="210">
        <v>37</v>
      </c>
      <c r="B44" s="162" t="s">
        <v>203</v>
      </c>
      <c r="C44" s="165">
        <v>12</v>
      </c>
      <c r="D44" s="165">
        <v>1</v>
      </c>
      <c r="E44" s="19">
        <v>0</v>
      </c>
      <c r="F44" s="19">
        <v>1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1</v>
      </c>
      <c r="M44" s="19">
        <v>1</v>
      </c>
      <c r="N44" s="19">
        <v>0</v>
      </c>
      <c r="O44" s="19">
        <v>1</v>
      </c>
      <c r="P44" s="19">
        <v>1</v>
      </c>
      <c r="Q44" s="19"/>
      <c r="R44" s="19">
        <v>1</v>
      </c>
    </row>
    <row r="45" spans="1:18" ht="23.25" customHeight="1">
      <c r="A45" s="210">
        <v>38</v>
      </c>
      <c r="B45" s="162" t="s">
        <v>99</v>
      </c>
      <c r="C45" s="165">
        <v>12</v>
      </c>
      <c r="D45" s="164">
        <v>1</v>
      </c>
      <c r="E45" s="20">
        <v>0</v>
      </c>
      <c r="F45" s="20">
        <f>SUM(D45:E45)</f>
        <v>1</v>
      </c>
      <c r="G45" s="20">
        <v>1</v>
      </c>
      <c r="H45" s="20">
        <v>0</v>
      </c>
      <c r="I45" s="20">
        <f>SUM(G45:H45)</f>
        <v>1</v>
      </c>
      <c r="J45" s="20">
        <f>F45-I45</f>
        <v>0</v>
      </c>
      <c r="K45" s="20">
        <v>0</v>
      </c>
      <c r="L45" s="20">
        <f>J45</f>
        <v>0</v>
      </c>
      <c r="M45" s="20">
        <v>0</v>
      </c>
      <c r="N45" s="20">
        <v>0</v>
      </c>
      <c r="O45" s="20">
        <f>SUM(M45:N45)</f>
        <v>0</v>
      </c>
      <c r="P45" s="20">
        <f>SUM(I45,L45)</f>
        <v>1</v>
      </c>
      <c r="Q45" s="20"/>
      <c r="R45" s="20">
        <f>SUM(P45:Q45)</f>
        <v>1</v>
      </c>
    </row>
    <row r="46" spans="1:18" ht="23.25" customHeight="1">
      <c r="A46" s="210">
        <v>39</v>
      </c>
      <c r="B46" s="162" t="s">
        <v>11</v>
      </c>
      <c r="C46" s="164" t="s">
        <v>180</v>
      </c>
      <c r="D46" s="164">
        <v>1</v>
      </c>
      <c r="E46" s="19">
        <v>0</v>
      </c>
      <c r="F46" s="19">
        <f>SUM(D46:E46)</f>
        <v>1</v>
      </c>
      <c r="G46" s="19">
        <v>1</v>
      </c>
      <c r="H46" s="19">
        <v>0</v>
      </c>
      <c r="I46" s="19">
        <f>G46+H46</f>
        <v>1</v>
      </c>
      <c r="J46" s="19">
        <v>0</v>
      </c>
      <c r="K46" s="19">
        <v>0</v>
      </c>
      <c r="L46" s="19">
        <f>J46</f>
        <v>0</v>
      </c>
      <c r="M46" s="19">
        <v>0</v>
      </c>
      <c r="N46" s="19">
        <v>0</v>
      </c>
      <c r="O46" s="19">
        <v>0</v>
      </c>
      <c r="P46" s="20">
        <f>SUM(I46,L46)</f>
        <v>1</v>
      </c>
      <c r="Q46" s="19"/>
      <c r="R46" s="19">
        <f>SUM(P46:Q46)</f>
        <v>1</v>
      </c>
    </row>
    <row r="47" spans="1:18" ht="23.25" customHeight="1">
      <c r="A47" s="210">
        <v>40</v>
      </c>
      <c r="B47" s="162" t="s">
        <v>185</v>
      </c>
      <c r="C47" s="165">
        <v>11</v>
      </c>
      <c r="D47" s="166">
        <v>2</v>
      </c>
      <c r="E47" s="20">
        <v>0</v>
      </c>
      <c r="F47" s="20">
        <v>2</v>
      </c>
      <c r="G47" s="20">
        <v>2</v>
      </c>
      <c r="H47" s="20">
        <v>0</v>
      </c>
      <c r="I47" s="20">
        <f>SUM(G47:H47)</f>
        <v>2</v>
      </c>
      <c r="J47" s="20">
        <v>0</v>
      </c>
      <c r="K47" s="20">
        <v>0</v>
      </c>
      <c r="L47" s="20">
        <f>J47</f>
        <v>0</v>
      </c>
      <c r="M47" s="20">
        <v>0</v>
      </c>
      <c r="N47" s="20">
        <v>0</v>
      </c>
      <c r="O47" s="20">
        <f>SUM(M47:N47)</f>
        <v>0</v>
      </c>
      <c r="P47" s="20">
        <f>SUM(I47,L47)</f>
        <v>2</v>
      </c>
      <c r="Q47" s="20"/>
      <c r="R47" s="20">
        <f>SUM(P47:Q47)</f>
        <v>2</v>
      </c>
    </row>
    <row r="48" spans="1:18" ht="23.25" customHeight="1">
      <c r="A48" s="210">
        <v>41</v>
      </c>
      <c r="B48" s="162" t="s">
        <v>11</v>
      </c>
      <c r="C48" s="166">
        <v>11</v>
      </c>
      <c r="D48" s="166">
        <v>2</v>
      </c>
      <c r="E48" s="20">
        <v>0</v>
      </c>
      <c r="F48" s="20">
        <f>SUM(D48:E48)</f>
        <v>2</v>
      </c>
      <c r="G48" s="20">
        <v>2</v>
      </c>
      <c r="H48" s="20">
        <v>0</v>
      </c>
      <c r="I48" s="20">
        <f>SUM(G48:H48)</f>
        <v>2</v>
      </c>
      <c r="J48" s="20">
        <f>F48-I48</f>
        <v>0</v>
      </c>
      <c r="K48" s="20">
        <v>0</v>
      </c>
      <c r="L48" s="20">
        <f>J48</f>
        <v>0</v>
      </c>
      <c r="M48" s="20">
        <v>0</v>
      </c>
      <c r="N48" s="20">
        <v>0</v>
      </c>
      <c r="O48" s="20">
        <f>SUM(M48:N48)</f>
        <v>0</v>
      </c>
      <c r="P48" s="20">
        <f>SUM(I48,L48)</f>
        <v>2</v>
      </c>
      <c r="Q48" s="20"/>
      <c r="R48" s="20">
        <f>SUM(P48:Q48)</f>
        <v>2</v>
      </c>
    </row>
    <row r="49" spans="1:18" ht="23.25" customHeight="1">
      <c r="A49" s="210">
        <v>42</v>
      </c>
      <c r="B49" s="162" t="s">
        <v>138</v>
      </c>
      <c r="C49" s="166">
        <v>11</v>
      </c>
      <c r="D49" s="166">
        <v>1</v>
      </c>
      <c r="E49" s="20">
        <v>0</v>
      </c>
      <c r="F49" s="20">
        <v>1</v>
      </c>
      <c r="G49" s="20">
        <v>0</v>
      </c>
      <c r="H49" s="20">
        <v>0</v>
      </c>
      <c r="I49" s="20">
        <v>0</v>
      </c>
      <c r="J49" s="20">
        <v>1</v>
      </c>
      <c r="K49" s="20">
        <v>0</v>
      </c>
      <c r="L49" s="20">
        <v>1</v>
      </c>
      <c r="M49" s="20">
        <v>1</v>
      </c>
      <c r="N49" s="20">
        <v>0</v>
      </c>
      <c r="O49" s="20">
        <v>1</v>
      </c>
      <c r="P49" s="20">
        <v>1</v>
      </c>
      <c r="Q49" s="20"/>
      <c r="R49" s="20">
        <v>1</v>
      </c>
    </row>
    <row r="50" spans="1:18" ht="23.25" customHeight="1">
      <c r="A50" s="210">
        <v>43</v>
      </c>
      <c r="B50" s="162" t="s">
        <v>97</v>
      </c>
      <c r="C50" s="164" t="s">
        <v>180</v>
      </c>
      <c r="D50" s="166">
        <v>1</v>
      </c>
      <c r="E50" s="20">
        <v>0</v>
      </c>
      <c r="F50" s="20">
        <f>SUM(D50:E50)</f>
        <v>1</v>
      </c>
      <c r="G50" s="20">
        <v>1</v>
      </c>
      <c r="H50" s="20">
        <v>0</v>
      </c>
      <c r="I50" s="20">
        <f>SUM(G50:H50)</f>
        <v>1</v>
      </c>
      <c r="J50" s="20">
        <f>F50-I50</f>
        <v>0</v>
      </c>
      <c r="K50" s="20">
        <v>0</v>
      </c>
      <c r="L50" s="20">
        <f>J50</f>
        <v>0</v>
      </c>
      <c r="M50" s="20">
        <v>0</v>
      </c>
      <c r="N50" s="20">
        <v>0</v>
      </c>
      <c r="O50" s="20">
        <f>SUM(M50:N50)</f>
        <v>0</v>
      </c>
      <c r="P50" s="20">
        <f>SUM(I50,L50)</f>
        <v>1</v>
      </c>
      <c r="Q50" s="20"/>
      <c r="R50" s="20">
        <f>SUM(P50:Q50)</f>
        <v>1</v>
      </c>
    </row>
    <row r="51" spans="1:18" ht="23.25" customHeight="1">
      <c r="A51" s="210">
        <v>44</v>
      </c>
      <c r="B51" s="162" t="s">
        <v>11</v>
      </c>
      <c r="C51" s="164">
        <v>11</v>
      </c>
      <c r="D51" s="166">
        <v>1</v>
      </c>
      <c r="E51" s="20">
        <v>0</v>
      </c>
      <c r="F51" s="20">
        <v>1</v>
      </c>
      <c r="G51" s="20">
        <v>1</v>
      </c>
      <c r="H51" s="20">
        <v>0</v>
      </c>
      <c r="I51" s="20">
        <v>1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1</v>
      </c>
      <c r="Q51" s="20">
        <v>0</v>
      </c>
      <c r="R51" s="20">
        <v>1</v>
      </c>
    </row>
    <row r="52" spans="1:18" ht="23.25" customHeight="1">
      <c r="A52" s="210">
        <v>45</v>
      </c>
      <c r="B52" s="162" t="s">
        <v>190</v>
      </c>
      <c r="C52" s="164">
        <v>11</v>
      </c>
      <c r="D52" s="166">
        <v>0</v>
      </c>
      <c r="E52" s="20">
        <v>1</v>
      </c>
      <c r="F52" s="20">
        <v>1</v>
      </c>
      <c r="G52" s="20">
        <v>0</v>
      </c>
      <c r="H52" s="20">
        <v>0</v>
      </c>
      <c r="I52" s="20">
        <v>0</v>
      </c>
      <c r="J52" s="20">
        <v>0</v>
      </c>
      <c r="K52" s="20">
        <v>1</v>
      </c>
      <c r="L52" s="20">
        <v>1</v>
      </c>
      <c r="M52" s="20">
        <v>0</v>
      </c>
      <c r="N52" s="20">
        <v>1</v>
      </c>
      <c r="O52" s="20">
        <v>1</v>
      </c>
      <c r="P52" s="20">
        <v>0</v>
      </c>
      <c r="Q52" s="20">
        <v>1</v>
      </c>
      <c r="R52" s="20">
        <v>1</v>
      </c>
    </row>
    <row r="53" spans="1:18" ht="23.25" customHeight="1">
      <c r="A53" s="210">
        <v>46</v>
      </c>
      <c r="B53" s="162" t="s">
        <v>11</v>
      </c>
      <c r="C53" s="164">
        <v>11</v>
      </c>
      <c r="D53" s="164">
        <v>2</v>
      </c>
      <c r="E53" s="20">
        <v>0</v>
      </c>
      <c r="F53" s="20">
        <f t="shared" ref="F53:F59" si="11">SUM(D53:E53)</f>
        <v>2</v>
      </c>
      <c r="G53" s="20">
        <v>2</v>
      </c>
      <c r="H53" s="20">
        <v>0</v>
      </c>
      <c r="I53" s="20">
        <f>SUM(G53:H53)</f>
        <v>2</v>
      </c>
      <c r="J53" s="20">
        <f>F53-I53</f>
        <v>0</v>
      </c>
      <c r="K53" s="20">
        <v>0</v>
      </c>
      <c r="L53" s="20">
        <f t="shared" ref="L53:L63" si="12">J53</f>
        <v>0</v>
      </c>
      <c r="M53" s="20">
        <v>0</v>
      </c>
      <c r="N53" s="20">
        <v>0</v>
      </c>
      <c r="O53" s="20">
        <f t="shared" ref="O53:O54" si="13">SUM(M53:N53)</f>
        <v>0</v>
      </c>
      <c r="P53" s="20">
        <f>SUM(I53,L53)</f>
        <v>2</v>
      </c>
      <c r="Q53" s="20"/>
      <c r="R53" s="20">
        <f t="shared" ref="R53:R63" si="14">SUM(P53:Q53)</f>
        <v>2</v>
      </c>
    </row>
    <row r="54" spans="1:18" ht="23.25" customHeight="1">
      <c r="A54" s="210">
        <v>47</v>
      </c>
      <c r="B54" s="162" t="s">
        <v>185</v>
      </c>
      <c r="C54" s="167">
        <v>11</v>
      </c>
      <c r="D54" s="165">
        <v>2</v>
      </c>
      <c r="E54" s="20">
        <v>0</v>
      </c>
      <c r="F54" s="20">
        <f t="shared" si="11"/>
        <v>2</v>
      </c>
      <c r="G54" s="20">
        <v>2</v>
      </c>
      <c r="H54" s="20">
        <v>0</v>
      </c>
      <c r="I54" s="20">
        <f>SUM(G54:H54)</f>
        <v>2</v>
      </c>
      <c r="J54" s="20">
        <f>F54-I54</f>
        <v>0</v>
      </c>
      <c r="K54" s="20">
        <v>0</v>
      </c>
      <c r="L54" s="20">
        <f t="shared" si="12"/>
        <v>0</v>
      </c>
      <c r="M54" s="20">
        <v>0</v>
      </c>
      <c r="N54" s="20">
        <v>0</v>
      </c>
      <c r="O54" s="20">
        <f t="shared" si="13"/>
        <v>0</v>
      </c>
      <c r="P54" s="20">
        <f>SUM(I54,L54)</f>
        <v>2</v>
      </c>
      <c r="Q54" s="20"/>
      <c r="R54" s="20">
        <f t="shared" si="14"/>
        <v>2</v>
      </c>
    </row>
    <row r="55" spans="1:18" ht="23.25" customHeight="1">
      <c r="A55" s="210">
        <v>48</v>
      </c>
      <c r="B55" s="162" t="s">
        <v>140</v>
      </c>
      <c r="C55" s="164" t="s">
        <v>180</v>
      </c>
      <c r="D55" s="164">
        <v>2</v>
      </c>
      <c r="E55" s="22">
        <v>0</v>
      </c>
      <c r="F55" s="22">
        <f t="shared" si="11"/>
        <v>2</v>
      </c>
      <c r="G55" s="22">
        <v>0</v>
      </c>
      <c r="H55" s="22">
        <v>0</v>
      </c>
      <c r="I55" s="22">
        <f>SUM(G55:H55)</f>
        <v>0</v>
      </c>
      <c r="J55" s="22">
        <f>F55-I55</f>
        <v>2</v>
      </c>
      <c r="K55" s="22">
        <v>0</v>
      </c>
      <c r="L55" s="22">
        <f t="shared" si="12"/>
        <v>2</v>
      </c>
      <c r="M55" s="22">
        <v>2</v>
      </c>
      <c r="N55" s="22">
        <v>0</v>
      </c>
      <c r="O55" s="22">
        <v>2</v>
      </c>
      <c r="P55" s="22">
        <f>SUM(I55,L55)</f>
        <v>2</v>
      </c>
      <c r="Q55" s="22"/>
      <c r="R55" s="22">
        <f t="shared" si="14"/>
        <v>2</v>
      </c>
    </row>
    <row r="56" spans="1:18" ht="23.25" customHeight="1">
      <c r="A56" s="210">
        <v>49</v>
      </c>
      <c r="B56" s="162" t="s">
        <v>231</v>
      </c>
      <c r="C56" s="164">
        <v>11</v>
      </c>
      <c r="D56" s="164">
        <v>1</v>
      </c>
      <c r="E56" s="22">
        <v>0</v>
      </c>
      <c r="F56" s="22">
        <f t="shared" si="11"/>
        <v>1</v>
      </c>
      <c r="G56" s="22">
        <v>1</v>
      </c>
      <c r="H56" s="22">
        <v>0</v>
      </c>
      <c r="I56" s="22">
        <f>SUM(G56:H56)</f>
        <v>1</v>
      </c>
      <c r="J56" s="22">
        <f>F56-I56</f>
        <v>0</v>
      </c>
      <c r="K56" s="22">
        <v>0</v>
      </c>
      <c r="L56" s="22">
        <f t="shared" si="12"/>
        <v>0</v>
      </c>
      <c r="M56" s="22">
        <v>0</v>
      </c>
      <c r="N56" s="22">
        <v>0</v>
      </c>
      <c r="O56" s="22">
        <v>0</v>
      </c>
      <c r="P56" s="22">
        <f>SUM(I56,L56)</f>
        <v>1</v>
      </c>
      <c r="Q56" s="22"/>
      <c r="R56" s="22">
        <f t="shared" si="14"/>
        <v>1</v>
      </c>
    </row>
    <row r="57" spans="1:18" ht="23.25" customHeight="1">
      <c r="A57" s="210">
        <v>50</v>
      </c>
      <c r="B57" s="162" t="s">
        <v>190</v>
      </c>
      <c r="C57" s="164">
        <v>11</v>
      </c>
      <c r="D57" s="164">
        <v>0</v>
      </c>
      <c r="E57" s="20">
        <v>1</v>
      </c>
      <c r="F57" s="20">
        <f t="shared" si="11"/>
        <v>1</v>
      </c>
      <c r="G57" s="20">
        <v>0</v>
      </c>
      <c r="H57" s="20">
        <v>1</v>
      </c>
      <c r="I57" s="20">
        <f>SUM(G57:H57)</f>
        <v>1</v>
      </c>
      <c r="J57" s="20">
        <f>F57-I57</f>
        <v>0</v>
      </c>
      <c r="K57" s="20"/>
      <c r="L57" s="20">
        <f t="shared" si="12"/>
        <v>0</v>
      </c>
      <c r="M57" s="20">
        <v>0</v>
      </c>
      <c r="N57" s="20">
        <v>0</v>
      </c>
      <c r="O57" s="20">
        <v>0</v>
      </c>
      <c r="P57" s="20">
        <v>0</v>
      </c>
      <c r="Q57" s="20">
        <v>1</v>
      </c>
      <c r="R57" s="20">
        <f t="shared" si="14"/>
        <v>1</v>
      </c>
    </row>
    <row r="58" spans="1:18" ht="23.25" customHeight="1">
      <c r="A58" s="210">
        <v>51</v>
      </c>
      <c r="B58" s="162" t="s">
        <v>25</v>
      </c>
      <c r="C58" s="164">
        <v>11</v>
      </c>
      <c r="D58" s="166">
        <v>1</v>
      </c>
      <c r="E58" s="170">
        <v>0</v>
      </c>
      <c r="F58" s="19">
        <f t="shared" si="11"/>
        <v>1</v>
      </c>
      <c r="G58" s="19">
        <v>0</v>
      </c>
      <c r="H58" s="19">
        <v>0</v>
      </c>
      <c r="I58" s="19">
        <f>G58+H58</f>
        <v>0</v>
      </c>
      <c r="J58" s="19">
        <v>1</v>
      </c>
      <c r="K58" s="19">
        <v>0</v>
      </c>
      <c r="L58" s="19">
        <f t="shared" si="12"/>
        <v>1</v>
      </c>
      <c r="M58" s="19">
        <v>1</v>
      </c>
      <c r="N58" s="19">
        <v>0</v>
      </c>
      <c r="O58" s="19">
        <v>1</v>
      </c>
      <c r="P58" s="20">
        <f t="shared" ref="P58:P63" si="15">SUM(I58,L58)</f>
        <v>1</v>
      </c>
      <c r="Q58" s="19"/>
      <c r="R58" s="19">
        <f t="shared" si="14"/>
        <v>1</v>
      </c>
    </row>
    <row r="59" spans="1:18" ht="23.25" customHeight="1">
      <c r="A59" s="210">
        <v>52</v>
      </c>
      <c r="B59" s="162" t="s">
        <v>11</v>
      </c>
      <c r="C59" s="166">
        <v>11</v>
      </c>
      <c r="D59" s="164">
        <v>1</v>
      </c>
      <c r="E59" s="170">
        <v>0</v>
      </c>
      <c r="F59" s="19">
        <f t="shared" si="11"/>
        <v>1</v>
      </c>
      <c r="G59" s="19">
        <v>1</v>
      </c>
      <c r="H59" s="19">
        <v>0</v>
      </c>
      <c r="I59" s="19">
        <f>G59+H59</f>
        <v>1</v>
      </c>
      <c r="J59" s="19">
        <v>0</v>
      </c>
      <c r="K59" s="19">
        <v>0</v>
      </c>
      <c r="L59" s="19">
        <f t="shared" si="12"/>
        <v>0</v>
      </c>
      <c r="M59" s="19">
        <v>0</v>
      </c>
      <c r="N59" s="19">
        <v>0</v>
      </c>
      <c r="O59" s="19">
        <v>0</v>
      </c>
      <c r="P59" s="20">
        <f t="shared" si="15"/>
        <v>1</v>
      </c>
      <c r="Q59" s="19"/>
      <c r="R59" s="19">
        <f t="shared" si="14"/>
        <v>1</v>
      </c>
    </row>
    <row r="60" spans="1:18" ht="23.25" customHeight="1">
      <c r="A60" s="210">
        <v>53</v>
      </c>
      <c r="B60" s="162" t="s">
        <v>232</v>
      </c>
      <c r="C60" s="167">
        <v>11</v>
      </c>
      <c r="D60" s="165">
        <v>2</v>
      </c>
      <c r="E60" s="19">
        <v>0</v>
      </c>
      <c r="F60" s="19">
        <f t="shared" ref="F60:F62" si="16">SUM(D60:E60)</f>
        <v>2</v>
      </c>
      <c r="G60" s="19">
        <v>0</v>
      </c>
      <c r="H60" s="19">
        <v>0</v>
      </c>
      <c r="I60" s="19">
        <f>SUM(G60:H60)</f>
        <v>0</v>
      </c>
      <c r="J60" s="19">
        <f>F60-I60</f>
        <v>2</v>
      </c>
      <c r="K60" s="19">
        <v>0</v>
      </c>
      <c r="L60" s="19">
        <f t="shared" si="12"/>
        <v>2</v>
      </c>
      <c r="M60" s="19">
        <v>2</v>
      </c>
      <c r="N60" s="19">
        <v>0</v>
      </c>
      <c r="O60" s="19">
        <f>SUM(M60:N60)</f>
        <v>2</v>
      </c>
      <c r="P60" s="19">
        <f t="shared" si="15"/>
        <v>2</v>
      </c>
      <c r="Q60" s="19"/>
      <c r="R60" s="19">
        <f t="shared" si="14"/>
        <v>2</v>
      </c>
    </row>
    <row r="61" spans="1:18" ht="23.25" customHeight="1">
      <c r="A61" s="210">
        <v>54</v>
      </c>
      <c r="B61" s="162" t="s">
        <v>234</v>
      </c>
      <c r="C61" s="165">
        <v>11</v>
      </c>
      <c r="D61" s="164">
        <v>1</v>
      </c>
      <c r="E61" s="19">
        <v>0</v>
      </c>
      <c r="F61" s="19">
        <f t="shared" si="16"/>
        <v>1</v>
      </c>
      <c r="G61" s="19">
        <v>1</v>
      </c>
      <c r="H61" s="19">
        <v>0</v>
      </c>
      <c r="I61" s="19">
        <f>SUM(G61:H61)</f>
        <v>1</v>
      </c>
      <c r="J61" s="19">
        <f>F61-I61</f>
        <v>0</v>
      </c>
      <c r="K61" s="19">
        <v>0</v>
      </c>
      <c r="L61" s="19">
        <f t="shared" si="12"/>
        <v>0</v>
      </c>
      <c r="M61" s="19">
        <v>0</v>
      </c>
      <c r="N61" s="19">
        <v>0</v>
      </c>
      <c r="O61" s="19">
        <f>SUM(M61:N61)</f>
        <v>0</v>
      </c>
      <c r="P61" s="19">
        <f t="shared" si="15"/>
        <v>1</v>
      </c>
      <c r="Q61" s="19"/>
      <c r="R61" s="19">
        <f t="shared" si="14"/>
        <v>1</v>
      </c>
    </row>
    <row r="62" spans="1:18" ht="23.25" customHeight="1">
      <c r="A62" s="210">
        <v>55</v>
      </c>
      <c r="B62" s="162" t="s">
        <v>233</v>
      </c>
      <c r="C62" s="165">
        <v>11</v>
      </c>
      <c r="D62" s="164">
        <v>1</v>
      </c>
      <c r="E62" s="19">
        <v>0</v>
      </c>
      <c r="F62" s="19">
        <f t="shared" si="16"/>
        <v>1</v>
      </c>
      <c r="G62" s="19">
        <v>1</v>
      </c>
      <c r="H62" s="19">
        <v>0</v>
      </c>
      <c r="I62" s="19">
        <f>SUM(G62:H62)</f>
        <v>1</v>
      </c>
      <c r="J62" s="19">
        <f>F62-I62</f>
        <v>0</v>
      </c>
      <c r="K62" s="19">
        <v>0</v>
      </c>
      <c r="L62" s="19">
        <f t="shared" si="12"/>
        <v>0</v>
      </c>
      <c r="M62" s="19">
        <v>0</v>
      </c>
      <c r="N62" s="19">
        <v>0</v>
      </c>
      <c r="O62" s="19">
        <f>SUM(M62:N62)</f>
        <v>0</v>
      </c>
      <c r="P62" s="19">
        <f t="shared" si="15"/>
        <v>1</v>
      </c>
      <c r="Q62" s="19"/>
      <c r="R62" s="19">
        <f t="shared" si="14"/>
        <v>1</v>
      </c>
    </row>
    <row r="63" spans="1:18" ht="23.25" customHeight="1">
      <c r="A63" s="210">
        <v>56</v>
      </c>
      <c r="B63" s="162" t="s">
        <v>145</v>
      </c>
      <c r="C63" s="164">
        <v>11</v>
      </c>
      <c r="D63" s="164">
        <v>1</v>
      </c>
      <c r="E63" s="20">
        <v>0</v>
      </c>
      <c r="F63" s="20">
        <f>SUM(D63:E63)</f>
        <v>1</v>
      </c>
      <c r="G63" s="20">
        <v>1</v>
      </c>
      <c r="H63" s="20">
        <v>0</v>
      </c>
      <c r="I63" s="20">
        <f>SUM(G63:H63)</f>
        <v>1</v>
      </c>
      <c r="J63" s="20">
        <f>F63-I63</f>
        <v>0</v>
      </c>
      <c r="K63" s="20">
        <v>0</v>
      </c>
      <c r="L63" s="20">
        <f t="shared" si="12"/>
        <v>0</v>
      </c>
      <c r="M63" s="20">
        <v>0</v>
      </c>
      <c r="N63" s="20">
        <v>0</v>
      </c>
      <c r="O63" s="20">
        <v>0</v>
      </c>
      <c r="P63" s="20">
        <f t="shared" si="15"/>
        <v>1</v>
      </c>
      <c r="Q63" s="20"/>
      <c r="R63" s="20">
        <f t="shared" si="14"/>
        <v>1</v>
      </c>
    </row>
    <row r="64" spans="1:18" ht="23.25" customHeight="1">
      <c r="A64" s="210">
        <v>57</v>
      </c>
      <c r="B64" s="162" t="s">
        <v>152</v>
      </c>
      <c r="C64" s="165">
        <v>11</v>
      </c>
      <c r="D64" s="164">
        <v>1</v>
      </c>
      <c r="E64" s="20">
        <v>0</v>
      </c>
      <c r="F64" s="20">
        <v>1</v>
      </c>
      <c r="G64" s="20">
        <v>0</v>
      </c>
      <c r="H64" s="20">
        <v>0</v>
      </c>
      <c r="I64" s="20">
        <v>0</v>
      </c>
      <c r="J64" s="20">
        <v>1</v>
      </c>
      <c r="K64" s="20">
        <v>0</v>
      </c>
      <c r="L64" s="20">
        <v>1</v>
      </c>
      <c r="M64" s="20">
        <v>1</v>
      </c>
      <c r="N64" s="20">
        <v>0</v>
      </c>
      <c r="O64" s="20">
        <v>1</v>
      </c>
      <c r="P64" s="20">
        <v>1</v>
      </c>
      <c r="Q64" s="20">
        <v>0</v>
      </c>
      <c r="R64" s="20">
        <v>1</v>
      </c>
    </row>
    <row r="65" spans="1:18" ht="23.25" customHeight="1">
      <c r="A65" s="210">
        <v>58</v>
      </c>
      <c r="B65" s="162" t="s">
        <v>185</v>
      </c>
      <c r="C65" s="167">
        <v>11</v>
      </c>
      <c r="D65" s="164">
        <v>1</v>
      </c>
      <c r="E65" s="20">
        <v>0</v>
      </c>
      <c r="F65" s="20">
        <f t="shared" ref="F65:F74" si="17">SUM(D65:E65)</f>
        <v>1</v>
      </c>
      <c r="G65" s="20">
        <v>1</v>
      </c>
      <c r="H65" s="20">
        <v>0</v>
      </c>
      <c r="I65" s="20">
        <f t="shared" ref="I65:I74" si="18">SUM(G65:H65)</f>
        <v>1</v>
      </c>
      <c r="J65" s="20">
        <f t="shared" ref="J65:J73" si="19">F65-I65</f>
        <v>0</v>
      </c>
      <c r="K65" s="20">
        <v>0</v>
      </c>
      <c r="L65" s="20">
        <f t="shared" ref="L65:L73" si="20">J65</f>
        <v>0</v>
      </c>
      <c r="M65" s="20">
        <v>0</v>
      </c>
      <c r="N65" s="20">
        <v>0</v>
      </c>
      <c r="O65" s="20">
        <f t="shared" ref="O65:O74" si="21">SUM(M65:N65)</f>
        <v>0</v>
      </c>
      <c r="P65" s="20">
        <f t="shared" ref="P65:P73" si="22">SUM(I65,L65)</f>
        <v>1</v>
      </c>
      <c r="Q65" s="20"/>
      <c r="R65" s="20">
        <f t="shared" ref="R65:R85" si="23">SUM(P65:Q65)</f>
        <v>1</v>
      </c>
    </row>
    <row r="66" spans="1:18" ht="23.25" customHeight="1">
      <c r="A66" s="210">
        <v>59</v>
      </c>
      <c r="B66" s="162" t="s">
        <v>197</v>
      </c>
      <c r="C66" s="164">
        <v>9</v>
      </c>
      <c r="D66" s="164">
        <v>1</v>
      </c>
      <c r="E66" s="20">
        <v>0</v>
      </c>
      <c r="F66" s="20">
        <f t="shared" si="17"/>
        <v>1</v>
      </c>
      <c r="G66" s="20">
        <v>1</v>
      </c>
      <c r="H66" s="20">
        <v>0</v>
      </c>
      <c r="I66" s="20">
        <f t="shared" si="18"/>
        <v>1</v>
      </c>
      <c r="J66" s="20">
        <f t="shared" si="19"/>
        <v>0</v>
      </c>
      <c r="K66" s="20">
        <v>0</v>
      </c>
      <c r="L66" s="20">
        <f t="shared" si="20"/>
        <v>0</v>
      </c>
      <c r="M66" s="20">
        <v>0</v>
      </c>
      <c r="N66" s="20">
        <v>0</v>
      </c>
      <c r="O66" s="20">
        <f t="shared" si="21"/>
        <v>0</v>
      </c>
      <c r="P66" s="20">
        <f t="shared" si="22"/>
        <v>1</v>
      </c>
      <c r="Q66" s="20"/>
      <c r="R66" s="20">
        <f t="shared" si="23"/>
        <v>1</v>
      </c>
    </row>
    <row r="67" spans="1:18" ht="23.25" customHeight="1">
      <c r="A67" s="210">
        <v>60</v>
      </c>
      <c r="B67" s="162" t="s">
        <v>101</v>
      </c>
      <c r="C67" s="164" t="s">
        <v>201</v>
      </c>
      <c r="D67" s="164">
        <v>1</v>
      </c>
      <c r="E67" s="20">
        <v>0</v>
      </c>
      <c r="F67" s="20">
        <f t="shared" si="17"/>
        <v>1</v>
      </c>
      <c r="G67" s="20">
        <v>0</v>
      </c>
      <c r="H67" s="20">
        <v>0</v>
      </c>
      <c r="I67" s="20">
        <f t="shared" si="18"/>
        <v>0</v>
      </c>
      <c r="J67" s="20">
        <f t="shared" si="19"/>
        <v>1</v>
      </c>
      <c r="K67" s="20">
        <v>0</v>
      </c>
      <c r="L67" s="20">
        <f t="shared" si="20"/>
        <v>1</v>
      </c>
      <c r="M67" s="20">
        <v>1</v>
      </c>
      <c r="N67" s="20">
        <v>0</v>
      </c>
      <c r="O67" s="20">
        <f t="shared" si="21"/>
        <v>1</v>
      </c>
      <c r="P67" s="20">
        <f t="shared" si="22"/>
        <v>1</v>
      </c>
      <c r="Q67" s="20"/>
      <c r="R67" s="20">
        <f t="shared" si="23"/>
        <v>1</v>
      </c>
    </row>
    <row r="68" spans="1:18" ht="20.100000000000001" customHeight="1">
      <c r="A68" s="210">
        <v>61</v>
      </c>
      <c r="B68" s="162" t="s">
        <v>172</v>
      </c>
      <c r="C68" s="164">
        <v>8</v>
      </c>
      <c r="D68" s="164">
        <v>2</v>
      </c>
      <c r="E68" s="20">
        <v>0</v>
      </c>
      <c r="F68" s="20">
        <f t="shared" si="17"/>
        <v>2</v>
      </c>
      <c r="G68" s="20">
        <v>1</v>
      </c>
      <c r="H68" s="20">
        <v>0</v>
      </c>
      <c r="I68" s="20">
        <f t="shared" si="18"/>
        <v>1</v>
      </c>
      <c r="J68" s="20">
        <f t="shared" si="19"/>
        <v>1</v>
      </c>
      <c r="K68" s="20">
        <v>0</v>
      </c>
      <c r="L68" s="20">
        <f t="shared" si="20"/>
        <v>1</v>
      </c>
      <c r="M68" s="20">
        <v>1</v>
      </c>
      <c r="N68" s="20">
        <v>0</v>
      </c>
      <c r="O68" s="20">
        <f t="shared" si="21"/>
        <v>1</v>
      </c>
      <c r="P68" s="20">
        <f t="shared" si="22"/>
        <v>2</v>
      </c>
      <c r="Q68" s="20"/>
      <c r="R68" s="20">
        <f t="shared" si="23"/>
        <v>2</v>
      </c>
    </row>
    <row r="69" spans="1:18" ht="20.100000000000001" customHeight="1">
      <c r="A69" s="210">
        <v>62</v>
      </c>
      <c r="B69" s="169" t="s">
        <v>104</v>
      </c>
      <c r="C69" s="164">
        <v>7</v>
      </c>
      <c r="D69" s="164">
        <v>2</v>
      </c>
      <c r="E69" s="20">
        <v>0</v>
      </c>
      <c r="F69" s="20">
        <f t="shared" si="17"/>
        <v>2</v>
      </c>
      <c r="G69" s="20">
        <v>2</v>
      </c>
      <c r="H69" s="20">
        <v>0</v>
      </c>
      <c r="I69" s="20">
        <f t="shared" si="18"/>
        <v>2</v>
      </c>
      <c r="J69" s="20">
        <f t="shared" si="19"/>
        <v>0</v>
      </c>
      <c r="K69" s="20">
        <v>0</v>
      </c>
      <c r="L69" s="20">
        <f t="shared" si="20"/>
        <v>0</v>
      </c>
      <c r="M69" s="20">
        <v>0</v>
      </c>
      <c r="N69" s="20">
        <v>0</v>
      </c>
      <c r="O69" s="20">
        <f t="shared" si="21"/>
        <v>0</v>
      </c>
      <c r="P69" s="20">
        <f t="shared" si="22"/>
        <v>2</v>
      </c>
      <c r="Q69" s="20"/>
      <c r="R69" s="20">
        <f t="shared" si="23"/>
        <v>2</v>
      </c>
    </row>
    <row r="70" spans="1:18" ht="20.100000000000001" customHeight="1">
      <c r="A70" s="210">
        <v>63</v>
      </c>
      <c r="B70" s="169" t="s">
        <v>163</v>
      </c>
      <c r="C70" s="165">
        <v>7</v>
      </c>
      <c r="D70" s="164">
        <v>3</v>
      </c>
      <c r="E70" s="20">
        <v>0</v>
      </c>
      <c r="F70" s="20">
        <f t="shared" si="17"/>
        <v>3</v>
      </c>
      <c r="G70" s="20">
        <v>3</v>
      </c>
      <c r="H70" s="20">
        <v>0</v>
      </c>
      <c r="I70" s="20">
        <f t="shared" si="18"/>
        <v>3</v>
      </c>
      <c r="J70" s="20">
        <f t="shared" si="19"/>
        <v>0</v>
      </c>
      <c r="K70" s="20">
        <v>0</v>
      </c>
      <c r="L70" s="20">
        <f t="shared" si="20"/>
        <v>0</v>
      </c>
      <c r="M70" s="20">
        <v>0</v>
      </c>
      <c r="N70" s="20">
        <v>0</v>
      </c>
      <c r="O70" s="20">
        <f t="shared" si="21"/>
        <v>0</v>
      </c>
      <c r="P70" s="20">
        <f t="shared" si="22"/>
        <v>3</v>
      </c>
      <c r="Q70" s="20"/>
      <c r="R70" s="20">
        <f t="shared" si="23"/>
        <v>3</v>
      </c>
    </row>
    <row r="71" spans="1:18" ht="20.100000000000001" customHeight="1">
      <c r="A71" s="210">
        <v>64</v>
      </c>
      <c r="B71" s="162" t="s">
        <v>199</v>
      </c>
      <c r="C71" s="164">
        <v>6</v>
      </c>
      <c r="D71" s="164">
        <v>1</v>
      </c>
      <c r="E71" s="20">
        <v>0</v>
      </c>
      <c r="F71" s="20">
        <f t="shared" si="17"/>
        <v>1</v>
      </c>
      <c r="G71" s="20">
        <v>1</v>
      </c>
      <c r="H71" s="20">
        <v>0</v>
      </c>
      <c r="I71" s="20">
        <f t="shared" si="18"/>
        <v>1</v>
      </c>
      <c r="J71" s="20">
        <f t="shared" si="19"/>
        <v>0</v>
      </c>
      <c r="K71" s="20">
        <v>0</v>
      </c>
      <c r="L71" s="20">
        <f t="shared" si="20"/>
        <v>0</v>
      </c>
      <c r="M71" s="20">
        <v>0</v>
      </c>
      <c r="N71" s="20">
        <v>0</v>
      </c>
      <c r="O71" s="20">
        <f t="shared" si="21"/>
        <v>0</v>
      </c>
      <c r="P71" s="20">
        <f t="shared" si="22"/>
        <v>1</v>
      </c>
      <c r="Q71" s="20"/>
      <c r="R71" s="20">
        <f t="shared" si="23"/>
        <v>1</v>
      </c>
    </row>
    <row r="72" spans="1:18" ht="20.100000000000001" customHeight="1">
      <c r="A72" s="210">
        <v>65</v>
      </c>
      <c r="B72" s="169" t="s">
        <v>163</v>
      </c>
      <c r="C72" s="165">
        <v>6</v>
      </c>
      <c r="D72" s="164">
        <v>1</v>
      </c>
      <c r="E72" s="20">
        <v>0</v>
      </c>
      <c r="F72" s="20">
        <f t="shared" si="17"/>
        <v>1</v>
      </c>
      <c r="G72" s="20">
        <v>1</v>
      </c>
      <c r="H72" s="20">
        <v>0</v>
      </c>
      <c r="I72" s="20">
        <f t="shared" si="18"/>
        <v>1</v>
      </c>
      <c r="J72" s="20">
        <f t="shared" si="19"/>
        <v>0</v>
      </c>
      <c r="K72" s="20">
        <v>0</v>
      </c>
      <c r="L72" s="20">
        <f t="shared" si="20"/>
        <v>0</v>
      </c>
      <c r="M72" s="20">
        <v>0</v>
      </c>
      <c r="N72" s="20">
        <v>0</v>
      </c>
      <c r="O72" s="20">
        <f t="shared" si="21"/>
        <v>0</v>
      </c>
      <c r="P72" s="20">
        <f t="shared" si="22"/>
        <v>1</v>
      </c>
      <c r="Q72" s="20"/>
      <c r="R72" s="20">
        <f t="shared" si="23"/>
        <v>1</v>
      </c>
    </row>
    <row r="73" spans="1:18" ht="20.100000000000001" customHeight="1">
      <c r="A73" s="210">
        <v>66</v>
      </c>
      <c r="B73" s="162" t="s">
        <v>198</v>
      </c>
      <c r="C73" s="164">
        <v>6</v>
      </c>
      <c r="D73" s="164">
        <v>4</v>
      </c>
      <c r="E73" s="20">
        <v>0</v>
      </c>
      <c r="F73" s="20">
        <f t="shared" si="17"/>
        <v>4</v>
      </c>
      <c r="G73" s="20">
        <v>2</v>
      </c>
      <c r="H73" s="20">
        <v>0</v>
      </c>
      <c r="I73" s="20">
        <f t="shared" si="18"/>
        <v>2</v>
      </c>
      <c r="J73" s="20">
        <f t="shared" si="19"/>
        <v>2</v>
      </c>
      <c r="K73" s="20">
        <v>0</v>
      </c>
      <c r="L73" s="20">
        <f t="shared" si="20"/>
        <v>2</v>
      </c>
      <c r="M73" s="20">
        <v>2</v>
      </c>
      <c r="N73" s="20">
        <v>0</v>
      </c>
      <c r="O73" s="20">
        <f t="shared" si="21"/>
        <v>2</v>
      </c>
      <c r="P73" s="20">
        <f t="shared" si="22"/>
        <v>4</v>
      </c>
      <c r="Q73" s="20"/>
      <c r="R73" s="20">
        <f t="shared" si="23"/>
        <v>4</v>
      </c>
    </row>
    <row r="74" spans="1:18" ht="20.100000000000001" customHeight="1">
      <c r="A74" s="210">
        <v>67</v>
      </c>
      <c r="B74" s="162" t="s">
        <v>190</v>
      </c>
      <c r="C74" s="164">
        <v>6</v>
      </c>
      <c r="D74" s="164">
        <v>0</v>
      </c>
      <c r="E74" s="19">
        <v>1</v>
      </c>
      <c r="F74" s="19">
        <f t="shared" si="17"/>
        <v>1</v>
      </c>
      <c r="G74" s="19">
        <v>0</v>
      </c>
      <c r="H74" s="19">
        <v>0</v>
      </c>
      <c r="I74" s="19">
        <f t="shared" si="18"/>
        <v>0</v>
      </c>
      <c r="J74" s="19">
        <v>0</v>
      </c>
      <c r="K74" s="19">
        <v>1</v>
      </c>
      <c r="L74" s="19">
        <v>1</v>
      </c>
      <c r="M74" s="19">
        <v>0</v>
      </c>
      <c r="N74" s="19">
        <v>1</v>
      </c>
      <c r="O74" s="19">
        <f t="shared" si="21"/>
        <v>1</v>
      </c>
      <c r="P74" s="19">
        <v>0</v>
      </c>
      <c r="Q74" s="19">
        <v>1</v>
      </c>
      <c r="R74" s="19">
        <f t="shared" si="23"/>
        <v>1</v>
      </c>
    </row>
    <row r="75" spans="1:18" ht="23.25" customHeight="1">
      <c r="A75" s="210">
        <v>68</v>
      </c>
      <c r="B75" s="162" t="s">
        <v>205</v>
      </c>
      <c r="C75" s="164">
        <v>5</v>
      </c>
      <c r="D75" s="164">
        <v>1</v>
      </c>
      <c r="E75" s="19">
        <v>0</v>
      </c>
      <c r="F75" s="19">
        <v>1</v>
      </c>
      <c r="G75" s="19">
        <v>1</v>
      </c>
      <c r="H75" s="19">
        <v>0</v>
      </c>
      <c r="I75" s="19">
        <v>1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20">
        <v>1</v>
      </c>
      <c r="Q75" s="19"/>
      <c r="R75" s="19">
        <f t="shared" si="23"/>
        <v>1</v>
      </c>
    </row>
    <row r="76" spans="1:18" ht="28.5" customHeight="1">
      <c r="A76" s="210">
        <v>69</v>
      </c>
      <c r="B76" s="162" t="s">
        <v>128</v>
      </c>
      <c r="C76" s="164">
        <v>5</v>
      </c>
      <c r="D76" s="164">
        <v>1</v>
      </c>
      <c r="E76" s="19">
        <v>0</v>
      </c>
      <c r="F76" s="19">
        <v>1</v>
      </c>
      <c r="G76" s="19">
        <v>0</v>
      </c>
      <c r="H76" s="19">
        <v>0</v>
      </c>
      <c r="I76" s="19">
        <v>0</v>
      </c>
      <c r="J76" s="19">
        <v>1</v>
      </c>
      <c r="K76" s="19">
        <v>0</v>
      </c>
      <c r="L76" s="19">
        <v>1</v>
      </c>
      <c r="M76" s="19">
        <v>1</v>
      </c>
      <c r="N76" s="19">
        <v>0</v>
      </c>
      <c r="O76" s="19">
        <v>1</v>
      </c>
      <c r="P76" s="20">
        <v>1</v>
      </c>
      <c r="Q76" s="19"/>
      <c r="R76" s="19">
        <f t="shared" si="23"/>
        <v>1</v>
      </c>
    </row>
    <row r="77" spans="1:18" ht="15">
      <c r="A77" s="210">
        <v>70</v>
      </c>
      <c r="B77" s="162" t="s">
        <v>107</v>
      </c>
      <c r="C77" s="164" t="s">
        <v>182</v>
      </c>
      <c r="D77" s="164">
        <v>1</v>
      </c>
      <c r="E77" s="20">
        <v>0</v>
      </c>
      <c r="F77" s="20">
        <f t="shared" ref="F77:F85" si="24">SUM(D77:E77)</f>
        <v>1</v>
      </c>
      <c r="G77" s="20">
        <v>1</v>
      </c>
      <c r="H77" s="20">
        <v>0</v>
      </c>
      <c r="I77" s="20">
        <f>SUM(G77:H77)</f>
        <v>1</v>
      </c>
      <c r="J77" s="20">
        <f>F77-I77</f>
        <v>0</v>
      </c>
      <c r="K77" s="20">
        <v>0</v>
      </c>
      <c r="L77" s="20">
        <f t="shared" ref="L77:L85" si="25">J77</f>
        <v>0</v>
      </c>
      <c r="M77" s="20">
        <v>0</v>
      </c>
      <c r="N77" s="20">
        <v>0</v>
      </c>
      <c r="O77" s="20">
        <f>SUM(M77:N77)</f>
        <v>0</v>
      </c>
      <c r="P77" s="20">
        <f t="shared" ref="P77:P85" si="26">SUM(I77,L77)</f>
        <v>1</v>
      </c>
      <c r="Q77" s="20"/>
      <c r="R77" s="20">
        <f t="shared" si="23"/>
        <v>1</v>
      </c>
    </row>
    <row r="78" spans="1:18" ht="23.25" customHeight="1">
      <c r="A78" s="210">
        <v>71</v>
      </c>
      <c r="B78" s="162" t="s">
        <v>12</v>
      </c>
      <c r="C78" s="164">
        <v>5</v>
      </c>
      <c r="D78" s="164">
        <v>1</v>
      </c>
      <c r="E78" s="20">
        <v>0</v>
      </c>
      <c r="F78" s="20">
        <f t="shared" si="24"/>
        <v>1</v>
      </c>
      <c r="G78" s="20">
        <v>1</v>
      </c>
      <c r="H78" s="20">
        <v>0</v>
      </c>
      <c r="I78" s="20">
        <f>SUM(G78:H78)</f>
        <v>1</v>
      </c>
      <c r="J78" s="20">
        <f>F78-I78</f>
        <v>0</v>
      </c>
      <c r="K78" s="20">
        <v>0</v>
      </c>
      <c r="L78" s="20">
        <f t="shared" si="25"/>
        <v>0</v>
      </c>
      <c r="M78" s="20">
        <v>0</v>
      </c>
      <c r="N78" s="20">
        <v>0</v>
      </c>
      <c r="O78" s="20">
        <v>0</v>
      </c>
      <c r="P78" s="20">
        <f t="shared" si="26"/>
        <v>1</v>
      </c>
      <c r="Q78" s="20"/>
      <c r="R78" s="20">
        <f t="shared" si="23"/>
        <v>1</v>
      </c>
    </row>
    <row r="79" spans="1:18" ht="23.25" customHeight="1">
      <c r="A79" s="210">
        <v>72</v>
      </c>
      <c r="B79" s="162" t="s">
        <v>184</v>
      </c>
      <c r="C79" s="166">
        <v>5</v>
      </c>
      <c r="D79" s="164">
        <v>1</v>
      </c>
      <c r="E79" s="170">
        <v>0</v>
      </c>
      <c r="F79" s="19">
        <f t="shared" si="24"/>
        <v>1</v>
      </c>
      <c r="G79" s="19">
        <v>1</v>
      </c>
      <c r="H79" s="19">
        <v>0</v>
      </c>
      <c r="I79" s="19">
        <f>G79+H79</f>
        <v>1</v>
      </c>
      <c r="J79" s="19">
        <v>0</v>
      </c>
      <c r="K79" s="19">
        <v>0</v>
      </c>
      <c r="L79" s="19">
        <f t="shared" si="25"/>
        <v>0</v>
      </c>
      <c r="M79" s="19">
        <v>0</v>
      </c>
      <c r="N79" s="19">
        <v>0</v>
      </c>
      <c r="O79" s="19">
        <v>0</v>
      </c>
      <c r="P79" s="20">
        <f t="shared" si="26"/>
        <v>1</v>
      </c>
      <c r="Q79" s="19"/>
      <c r="R79" s="19">
        <f t="shared" si="23"/>
        <v>1</v>
      </c>
    </row>
    <row r="80" spans="1:18" ht="20.100000000000001" customHeight="1">
      <c r="A80" s="210">
        <v>73</v>
      </c>
      <c r="B80" s="162" t="s">
        <v>164</v>
      </c>
      <c r="C80" s="164">
        <v>5</v>
      </c>
      <c r="D80" s="164">
        <v>2</v>
      </c>
      <c r="E80" s="20">
        <v>0</v>
      </c>
      <c r="F80" s="20">
        <f t="shared" si="24"/>
        <v>2</v>
      </c>
      <c r="G80" s="20">
        <v>2</v>
      </c>
      <c r="H80" s="20">
        <v>0</v>
      </c>
      <c r="I80" s="20">
        <f t="shared" ref="I80:I87" si="27">SUM(G80:H80)</f>
        <v>2</v>
      </c>
      <c r="J80" s="20">
        <f t="shared" ref="J80:J85" si="28">F80-I80</f>
        <v>0</v>
      </c>
      <c r="K80" s="20">
        <v>0</v>
      </c>
      <c r="L80" s="20">
        <f t="shared" si="25"/>
        <v>0</v>
      </c>
      <c r="M80" s="20">
        <v>0</v>
      </c>
      <c r="N80" s="20">
        <v>0</v>
      </c>
      <c r="O80" s="20">
        <f t="shared" ref="O80:O85" si="29">SUM(M80:N80)</f>
        <v>0</v>
      </c>
      <c r="P80" s="20">
        <f t="shared" si="26"/>
        <v>2</v>
      </c>
      <c r="Q80" s="20"/>
      <c r="R80" s="20">
        <f t="shared" si="23"/>
        <v>2</v>
      </c>
    </row>
    <row r="81" spans="1:18" ht="20.100000000000001" customHeight="1">
      <c r="A81" s="210">
        <v>74</v>
      </c>
      <c r="B81" s="162" t="s">
        <v>68</v>
      </c>
      <c r="C81" s="164">
        <v>5</v>
      </c>
      <c r="D81" s="164">
        <v>3</v>
      </c>
      <c r="E81" s="20">
        <v>0</v>
      </c>
      <c r="F81" s="20">
        <f t="shared" si="24"/>
        <v>3</v>
      </c>
      <c r="G81" s="20">
        <v>1</v>
      </c>
      <c r="H81" s="20">
        <v>0</v>
      </c>
      <c r="I81" s="20">
        <f t="shared" si="27"/>
        <v>1</v>
      </c>
      <c r="J81" s="20">
        <f t="shared" si="28"/>
        <v>2</v>
      </c>
      <c r="K81" s="20">
        <v>0</v>
      </c>
      <c r="L81" s="20">
        <f t="shared" si="25"/>
        <v>2</v>
      </c>
      <c r="M81" s="20">
        <v>2</v>
      </c>
      <c r="N81" s="20">
        <v>0</v>
      </c>
      <c r="O81" s="20">
        <f t="shared" si="29"/>
        <v>2</v>
      </c>
      <c r="P81" s="20">
        <f t="shared" si="26"/>
        <v>3</v>
      </c>
      <c r="Q81" s="20"/>
      <c r="R81" s="20">
        <f t="shared" si="23"/>
        <v>3</v>
      </c>
    </row>
    <row r="82" spans="1:18" ht="20.100000000000001" customHeight="1">
      <c r="A82" s="210">
        <v>75</v>
      </c>
      <c r="B82" s="169" t="s">
        <v>104</v>
      </c>
      <c r="C82" s="164">
        <v>5</v>
      </c>
      <c r="D82" s="164">
        <v>3</v>
      </c>
      <c r="E82" s="20">
        <v>0</v>
      </c>
      <c r="F82" s="20">
        <f t="shared" si="24"/>
        <v>3</v>
      </c>
      <c r="G82" s="20">
        <v>0</v>
      </c>
      <c r="H82" s="20">
        <v>0</v>
      </c>
      <c r="I82" s="20">
        <f t="shared" si="27"/>
        <v>0</v>
      </c>
      <c r="J82" s="20">
        <f t="shared" si="28"/>
        <v>3</v>
      </c>
      <c r="K82" s="20">
        <v>0</v>
      </c>
      <c r="L82" s="20">
        <f t="shared" si="25"/>
        <v>3</v>
      </c>
      <c r="M82" s="20">
        <v>3</v>
      </c>
      <c r="N82" s="20">
        <v>0</v>
      </c>
      <c r="O82" s="20">
        <f t="shared" si="29"/>
        <v>3</v>
      </c>
      <c r="P82" s="20">
        <f t="shared" si="26"/>
        <v>3</v>
      </c>
      <c r="Q82" s="20"/>
      <c r="R82" s="20">
        <f t="shared" si="23"/>
        <v>3</v>
      </c>
    </row>
    <row r="83" spans="1:18" ht="20.100000000000001" customHeight="1">
      <c r="A83" s="210">
        <v>76</v>
      </c>
      <c r="B83" s="162" t="s">
        <v>157</v>
      </c>
      <c r="C83" s="164">
        <v>5</v>
      </c>
      <c r="D83" s="164">
        <v>1</v>
      </c>
      <c r="E83" s="20">
        <v>0</v>
      </c>
      <c r="F83" s="20">
        <f t="shared" si="24"/>
        <v>1</v>
      </c>
      <c r="G83" s="20">
        <v>0</v>
      </c>
      <c r="H83" s="20">
        <v>0</v>
      </c>
      <c r="I83" s="20">
        <f t="shared" si="27"/>
        <v>0</v>
      </c>
      <c r="J83" s="20">
        <f t="shared" si="28"/>
        <v>1</v>
      </c>
      <c r="K83" s="20">
        <v>0</v>
      </c>
      <c r="L83" s="20">
        <f t="shared" si="25"/>
        <v>1</v>
      </c>
      <c r="M83" s="20">
        <v>1</v>
      </c>
      <c r="N83" s="20">
        <v>0</v>
      </c>
      <c r="O83" s="20">
        <f t="shared" si="29"/>
        <v>1</v>
      </c>
      <c r="P83" s="20">
        <f t="shared" si="26"/>
        <v>1</v>
      </c>
      <c r="Q83" s="20"/>
      <c r="R83" s="20">
        <f t="shared" si="23"/>
        <v>1</v>
      </c>
    </row>
    <row r="84" spans="1:18" ht="20.100000000000001" customHeight="1">
      <c r="A84" s="210">
        <v>77</v>
      </c>
      <c r="B84" s="162" t="s">
        <v>12</v>
      </c>
      <c r="C84" s="164">
        <v>5</v>
      </c>
      <c r="D84" s="164">
        <v>1</v>
      </c>
      <c r="E84" s="20">
        <v>0</v>
      </c>
      <c r="F84" s="20">
        <f t="shared" si="24"/>
        <v>1</v>
      </c>
      <c r="G84" s="20">
        <v>1</v>
      </c>
      <c r="H84" s="20">
        <v>0</v>
      </c>
      <c r="I84" s="20">
        <f t="shared" si="27"/>
        <v>1</v>
      </c>
      <c r="J84" s="20">
        <f t="shared" si="28"/>
        <v>0</v>
      </c>
      <c r="K84" s="20">
        <v>0</v>
      </c>
      <c r="L84" s="20">
        <f t="shared" si="25"/>
        <v>0</v>
      </c>
      <c r="M84" s="20">
        <v>0</v>
      </c>
      <c r="N84" s="20">
        <v>0</v>
      </c>
      <c r="O84" s="20">
        <f t="shared" si="29"/>
        <v>0</v>
      </c>
      <c r="P84" s="20">
        <f t="shared" si="26"/>
        <v>1</v>
      </c>
      <c r="Q84" s="20"/>
      <c r="R84" s="20">
        <f t="shared" si="23"/>
        <v>1</v>
      </c>
    </row>
    <row r="85" spans="1:18" ht="20.100000000000001" customHeight="1">
      <c r="A85" s="210">
        <v>78</v>
      </c>
      <c r="B85" s="162" t="s">
        <v>176</v>
      </c>
      <c r="C85" s="164">
        <v>5</v>
      </c>
      <c r="D85" s="164">
        <v>4</v>
      </c>
      <c r="E85" s="20">
        <v>0</v>
      </c>
      <c r="F85" s="20">
        <f t="shared" si="24"/>
        <v>4</v>
      </c>
      <c r="G85" s="20">
        <v>3</v>
      </c>
      <c r="H85" s="20">
        <v>0</v>
      </c>
      <c r="I85" s="20">
        <f t="shared" si="27"/>
        <v>3</v>
      </c>
      <c r="J85" s="20">
        <f t="shared" si="28"/>
        <v>1</v>
      </c>
      <c r="K85" s="20">
        <v>0</v>
      </c>
      <c r="L85" s="20">
        <f t="shared" si="25"/>
        <v>1</v>
      </c>
      <c r="M85" s="20">
        <v>1</v>
      </c>
      <c r="N85" s="20">
        <v>0</v>
      </c>
      <c r="O85" s="20">
        <f t="shared" si="29"/>
        <v>1</v>
      </c>
      <c r="P85" s="20">
        <f t="shared" si="26"/>
        <v>4</v>
      </c>
      <c r="Q85" s="20"/>
      <c r="R85" s="20">
        <f t="shared" si="23"/>
        <v>4</v>
      </c>
    </row>
    <row r="86" spans="1:18" ht="20.100000000000001" customHeight="1">
      <c r="A86" s="210">
        <v>79</v>
      </c>
      <c r="B86" s="162" t="s">
        <v>184</v>
      </c>
      <c r="C86" s="164">
        <v>5</v>
      </c>
      <c r="D86" s="164">
        <v>1</v>
      </c>
      <c r="E86" s="20">
        <v>0</v>
      </c>
      <c r="F86" s="20">
        <v>1</v>
      </c>
      <c r="G86" s="20">
        <v>1</v>
      </c>
      <c r="H86" s="20">
        <v>0</v>
      </c>
      <c r="I86" s="20">
        <f t="shared" si="27"/>
        <v>1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1</v>
      </c>
      <c r="Q86" s="20">
        <v>0</v>
      </c>
      <c r="R86" s="20">
        <v>1</v>
      </c>
    </row>
    <row r="87" spans="1:18" ht="20.100000000000001" customHeight="1">
      <c r="A87" s="210">
        <v>80</v>
      </c>
      <c r="B87" s="162" t="s">
        <v>20</v>
      </c>
      <c r="C87" s="164" t="s">
        <v>182</v>
      </c>
      <c r="D87" s="164">
        <v>2</v>
      </c>
      <c r="E87" s="20">
        <v>0</v>
      </c>
      <c r="F87" s="20">
        <f>SUM(D87:E87)</f>
        <v>2</v>
      </c>
      <c r="G87" s="20">
        <v>2</v>
      </c>
      <c r="H87" s="20">
        <v>0</v>
      </c>
      <c r="I87" s="20">
        <f t="shared" si="27"/>
        <v>2</v>
      </c>
      <c r="J87" s="20">
        <f>F87-I87</f>
        <v>0</v>
      </c>
      <c r="K87" s="20">
        <v>0</v>
      </c>
      <c r="L87" s="20">
        <f>J87</f>
        <v>0</v>
      </c>
      <c r="M87" s="20">
        <v>0</v>
      </c>
      <c r="N87" s="20">
        <v>0</v>
      </c>
      <c r="O87" s="20">
        <f>SUM(M87:N87)</f>
        <v>0</v>
      </c>
      <c r="P87" s="20">
        <f>SUM(I87,L87)</f>
        <v>2</v>
      </c>
      <c r="Q87" s="20"/>
      <c r="R87" s="20">
        <f t="shared" ref="R87:R96" si="30">SUM(P87:Q87)</f>
        <v>2</v>
      </c>
    </row>
    <row r="88" spans="1:18" ht="23.25" customHeight="1">
      <c r="A88" s="210">
        <v>81</v>
      </c>
      <c r="B88" s="162" t="s">
        <v>12</v>
      </c>
      <c r="C88" s="164">
        <v>4</v>
      </c>
      <c r="D88" s="164">
        <v>1</v>
      </c>
      <c r="E88" s="19">
        <v>0</v>
      </c>
      <c r="F88" s="19">
        <f t="shared" ref="F88" si="31">SUM(D88:E88)</f>
        <v>1</v>
      </c>
      <c r="G88" s="19">
        <v>1</v>
      </c>
      <c r="H88" s="19">
        <v>0</v>
      </c>
      <c r="I88" s="19">
        <f t="shared" ref="I88" si="32">G88+H88</f>
        <v>1</v>
      </c>
      <c r="J88" s="19">
        <v>0</v>
      </c>
      <c r="K88" s="19">
        <v>0</v>
      </c>
      <c r="L88" s="19">
        <f t="shared" ref="L88" si="33">J88</f>
        <v>0</v>
      </c>
      <c r="M88" s="19">
        <v>0</v>
      </c>
      <c r="N88" s="19">
        <v>0</v>
      </c>
      <c r="O88" s="19">
        <v>0</v>
      </c>
      <c r="P88" s="20">
        <f t="shared" ref="P88" si="34">SUM(I88,L88)</f>
        <v>1</v>
      </c>
      <c r="Q88" s="19"/>
      <c r="R88" s="19">
        <f t="shared" si="30"/>
        <v>1</v>
      </c>
    </row>
    <row r="89" spans="1:18" ht="23.25" customHeight="1">
      <c r="A89" s="210">
        <v>82</v>
      </c>
      <c r="B89" s="162" t="s">
        <v>19</v>
      </c>
      <c r="C89" s="164">
        <v>4</v>
      </c>
      <c r="D89" s="164">
        <v>1</v>
      </c>
      <c r="E89" s="20">
        <v>0</v>
      </c>
      <c r="F89" s="20">
        <f t="shared" ref="F89:F96" si="35">SUM(D89:E89)</f>
        <v>1</v>
      </c>
      <c r="G89" s="20">
        <v>1</v>
      </c>
      <c r="H89" s="20">
        <v>0</v>
      </c>
      <c r="I89" s="20">
        <f t="shared" ref="I89:I96" si="36">SUM(G89:H89)</f>
        <v>1</v>
      </c>
      <c r="J89" s="20">
        <v>0</v>
      </c>
      <c r="K89" s="20">
        <v>0</v>
      </c>
      <c r="L89" s="20">
        <f t="shared" ref="L89:L96" si="37">J89</f>
        <v>0</v>
      </c>
      <c r="M89" s="20">
        <v>0</v>
      </c>
      <c r="N89" s="20">
        <v>0</v>
      </c>
      <c r="O89" s="20">
        <v>0</v>
      </c>
      <c r="P89" s="20">
        <f>SUM(I89,L89)</f>
        <v>1</v>
      </c>
      <c r="Q89" s="20"/>
      <c r="R89" s="20">
        <f t="shared" si="30"/>
        <v>1</v>
      </c>
    </row>
    <row r="90" spans="1:18" ht="23.25" customHeight="1">
      <c r="A90" s="210">
        <v>83</v>
      </c>
      <c r="B90" s="162" t="s">
        <v>190</v>
      </c>
      <c r="C90" s="164">
        <v>4</v>
      </c>
      <c r="D90" s="164">
        <v>0</v>
      </c>
      <c r="E90" s="19">
        <v>1</v>
      </c>
      <c r="F90" s="19">
        <f t="shared" si="35"/>
        <v>1</v>
      </c>
      <c r="G90" s="19">
        <v>0</v>
      </c>
      <c r="H90" s="19">
        <v>1</v>
      </c>
      <c r="I90" s="19">
        <f t="shared" si="36"/>
        <v>1</v>
      </c>
      <c r="J90" s="19">
        <f t="shared" ref="J90:J96" si="38">F90-I90</f>
        <v>0</v>
      </c>
      <c r="K90" s="19">
        <v>0</v>
      </c>
      <c r="L90" s="19">
        <f t="shared" si="37"/>
        <v>0</v>
      </c>
      <c r="M90" s="19">
        <v>0</v>
      </c>
      <c r="N90" s="19">
        <v>0</v>
      </c>
      <c r="O90" s="19">
        <f t="shared" ref="O90:O96" si="39">SUM(M90:N90)</f>
        <v>0</v>
      </c>
      <c r="P90" s="19">
        <v>0</v>
      </c>
      <c r="Q90" s="19">
        <v>1</v>
      </c>
      <c r="R90" s="19">
        <f t="shared" si="30"/>
        <v>1</v>
      </c>
    </row>
    <row r="91" spans="1:18" ht="20.100000000000001" customHeight="1">
      <c r="A91" s="210">
        <v>84</v>
      </c>
      <c r="B91" s="162" t="s">
        <v>184</v>
      </c>
      <c r="C91" s="164">
        <v>4</v>
      </c>
      <c r="D91" s="164">
        <v>1</v>
      </c>
      <c r="E91" s="19">
        <v>0</v>
      </c>
      <c r="F91" s="19">
        <f t="shared" si="35"/>
        <v>1</v>
      </c>
      <c r="G91" s="19">
        <v>1</v>
      </c>
      <c r="H91" s="19">
        <v>0</v>
      </c>
      <c r="I91" s="19">
        <f t="shared" si="36"/>
        <v>1</v>
      </c>
      <c r="J91" s="19">
        <f t="shared" si="38"/>
        <v>0</v>
      </c>
      <c r="K91" s="19">
        <v>0</v>
      </c>
      <c r="L91" s="19">
        <f t="shared" si="37"/>
        <v>0</v>
      </c>
      <c r="M91" s="19">
        <v>0</v>
      </c>
      <c r="N91" s="19">
        <v>0</v>
      </c>
      <c r="O91" s="19">
        <f t="shared" si="39"/>
        <v>0</v>
      </c>
      <c r="P91" s="19">
        <f>SUM(I91,L91)</f>
        <v>1</v>
      </c>
      <c r="Q91" s="19"/>
      <c r="R91" s="19">
        <f t="shared" si="30"/>
        <v>1</v>
      </c>
    </row>
    <row r="92" spans="1:18" ht="23.25" customHeight="1">
      <c r="A92" s="210">
        <v>85</v>
      </c>
      <c r="B92" s="162" t="s">
        <v>12</v>
      </c>
      <c r="C92" s="164">
        <v>4</v>
      </c>
      <c r="D92" s="164">
        <v>1</v>
      </c>
      <c r="E92" s="19">
        <v>0</v>
      </c>
      <c r="F92" s="19">
        <f t="shared" si="35"/>
        <v>1</v>
      </c>
      <c r="G92" s="19">
        <v>1</v>
      </c>
      <c r="H92" s="19">
        <v>0</v>
      </c>
      <c r="I92" s="19">
        <f t="shared" si="36"/>
        <v>1</v>
      </c>
      <c r="J92" s="19">
        <f t="shared" si="38"/>
        <v>0</v>
      </c>
      <c r="K92" s="19">
        <v>0</v>
      </c>
      <c r="L92" s="19">
        <f t="shared" si="37"/>
        <v>0</v>
      </c>
      <c r="M92" s="19">
        <v>0</v>
      </c>
      <c r="N92" s="19">
        <v>0</v>
      </c>
      <c r="O92" s="19">
        <f t="shared" si="39"/>
        <v>0</v>
      </c>
      <c r="P92" s="19">
        <f>SUM(I92,L92)</f>
        <v>1</v>
      </c>
      <c r="Q92" s="19"/>
      <c r="R92" s="19">
        <f t="shared" si="30"/>
        <v>1</v>
      </c>
    </row>
    <row r="93" spans="1:18" ht="23.25" customHeight="1">
      <c r="A93" s="210">
        <v>86</v>
      </c>
      <c r="B93" s="162" t="s">
        <v>235</v>
      </c>
      <c r="C93" s="164">
        <v>4</v>
      </c>
      <c r="D93" s="164">
        <v>1</v>
      </c>
      <c r="E93" s="19">
        <v>0</v>
      </c>
      <c r="F93" s="19">
        <f t="shared" si="35"/>
        <v>1</v>
      </c>
      <c r="G93" s="19">
        <v>1</v>
      </c>
      <c r="H93" s="19">
        <v>0</v>
      </c>
      <c r="I93" s="19">
        <f t="shared" si="36"/>
        <v>1</v>
      </c>
      <c r="J93" s="19">
        <f t="shared" si="38"/>
        <v>0</v>
      </c>
      <c r="K93" s="19">
        <v>0</v>
      </c>
      <c r="L93" s="19">
        <f t="shared" si="37"/>
        <v>0</v>
      </c>
      <c r="M93" s="19">
        <v>0</v>
      </c>
      <c r="N93" s="19">
        <v>0</v>
      </c>
      <c r="O93" s="19">
        <f t="shared" si="39"/>
        <v>0</v>
      </c>
      <c r="P93" s="19">
        <f>SUM(I93,L93)</f>
        <v>1</v>
      </c>
      <c r="Q93" s="19"/>
      <c r="R93" s="19">
        <f t="shared" si="30"/>
        <v>1</v>
      </c>
    </row>
    <row r="94" spans="1:18" ht="20.100000000000001" customHeight="1">
      <c r="A94" s="210">
        <v>87</v>
      </c>
      <c r="B94" s="162" t="s">
        <v>190</v>
      </c>
      <c r="C94" s="164">
        <v>4</v>
      </c>
      <c r="D94" s="164">
        <v>0</v>
      </c>
      <c r="E94" s="19">
        <v>1</v>
      </c>
      <c r="F94" s="19">
        <f t="shared" si="35"/>
        <v>1</v>
      </c>
      <c r="G94" s="19">
        <v>0</v>
      </c>
      <c r="H94" s="19">
        <v>1</v>
      </c>
      <c r="I94" s="19">
        <f t="shared" si="36"/>
        <v>1</v>
      </c>
      <c r="J94" s="19">
        <f t="shared" si="38"/>
        <v>0</v>
      </c>
      <c r="K94" s="19">
        <v>0</v>
      </c>
      <c r="L94" s="19">
        <f t="shared" si="37"/>
        <v>0</v>
      </c>
      <c r="M94" s="19">
        <v>0</v>
      </c>
      <c r="N94" s="19">
        <v>0</v>
      </c>
      <c r="O94" s="19">
        <f t="shared" si="39"/>
        <v>0</v>
      </c>
      <c r="P94" s="19">
        <v>0</v>
      </c>
      <c r="Q94" s="19">
        <v>1</v>
      </c>
      <c r="R94" s="19">
        <f t="shared" si="30"/>
        <v>1</v>
      </c>
    </row>
    <row r="95" spans="1:18" ht="20.100000000000001" customHeight="1">
      <c r="A95" s="210">
        <v>88</v>
      </c>
      <c r="B95" s="162" t="s">
        <v>20</v>
      </c>
      <c r="C95" s="164" t="s">
        <v>183</v>
      </c>
      <c r="D95" s="164">
        <v>14</v>
      </c>
      <c r="E95" s="20">
        <v>0</v>
      </c>
      <c r="F95" s="20">
        <f t="shared" si="35"/>
        <v>14</v>
      </c>
      <c r="G95" s="20">
        <v>14</v>
      </c>
      <c r="H95" s="20">
        <v>0</v>
      </c>
      <c r="I95" s="20">
        <f t="shared" si="36"/>
        <v>14</v>
      </c>
      <c r="J95" s="20">
        <f t="shared" si="38"/>
        <v>0</v>
      </c>
      <c r="K95" s="20">
        <v>0</v>
      </c>
      <c r="L95" s="20">
        <f t="shared" si="37"/>
        <v>0</v>
      </c>
      <c r="M95" s="20">
        <v>0</v>
      </c>
      <c r="N95" s="20">
        <v>0</v>
      </c>
      <c r="O95" s="20">
        <f t="shared" si="39"/>
        <v>0</v>
      </c>
      <c r="P95" s="20">
        <f>SUM(I95,L95)</f>
        <v>14</v>
      </c>
      <c r="Q95" s="20"/>
      <c r="R95" s="20">
        <f t="shared" si="30"/>
        <v>14</v>
      </c>
    </row>
    <row r="96" spans="1:18" ht="20.100000000000001" customHeight="1">
      <c r="A96" s="210">
        <v>89</v>
      </c>
      <c r="B96" s="162" t="s">
        <v>158</v>
      </c>
      <c r="C96" s="164">
        <v>3</v>
      </c>
      <c r="D96" s="164">
        <v>2</v>
      </c>
      <c r="E96" s="20">
        <v>0</v>
      </c>
      <c r="F96" s="20">
        <f t="shared" si="35"/>
        <v>2</v>
      </c>
      <c r="G96" s="20">
        <v>2</v>
      </c>
      <c r="H96" s="20">
        <v>0</v>
      </c>
      <c r="I96" s="20">
        <f t="shared" si="36"/>
        <v>2</v>
      </c>
      <c r="J96" s="20">
        <f t="shared" si="38"/>
        <v>0</v>
      </c>
      <c r="K96" s="20">
        <v>0</v>
      </c>
      <c r="L96" s="20">
        <f t="shared" si="37"/>
        <v>0</v>
      </c>
      <c r="M96" s="20">
        <v>0</v>
      </c>
      <c r="N96" s="20">
        <v>0</v>
      </c>
      <c r="O96" s="20">
        <f t="shared" si="39"/>
        <v>0</v>
      </c>
      <c r="P96" s="20">
        <f>SUM(I96,L96)</f>
        <v>2</v>
      </c>
      <c r="Q96" s="20"/>
      <c r="R96" s="20">
        <f t="shared" si="30"/>
        <v>2</v>
      </c>
    </row>
    <row r="97" spans="1:18" ht="20.100000000000001" customHeight="1">
      <c r="A97" s="210">
        <v>90</v>
      </c>
      <c r="B97" s="162" t="s">
        <v>161</v>
      </c>
      <c r="C97" s="164">
        <v>3</v>
      </c>
      <c r="D97" s="164">
        <v>1</v>
      </c>
      <c r="E97" s="20">
        <v>0</v>
      </c>
      <c r="F97" s="20">
        <v>1</v>
      </c>
      <c r="G97" s="20">
        <v>0</v>
      </c>
      <c r="H97" s="20">
        <v>0</v>
      </c>
      <c r="I97" s="20">
        <v>0</v>
      </c>
      <c r="J97" s="20">
        <v>1</v>
      </c>
      <c r="K97" s="20">
        <v>0</v>
      </c>
      <c r="L97" s="20">
        <v>1</v>
      </c>
      <c r="M97" s="20">
        <v>1</v>
      </c>
      <c r="N97" s="20">
        <v>0</v>
      </c>
      <c r="O97" s="20">
        <v>1</v>
      </c>
      <c r="P97" s="20">
        <v>1</v>
      </c>
      <c r="Q97" s="20">
        <v>0</v>
      </c>
      <c r="R97" s="20">
        <v>1</v>
      </c>
    </row>
    <row r="98" spans="1:18" ht="20.100000000000001" customHeight="1">
      <c r="A98" s="210">
        <v>91</v>
      </c>
      <c r="B98" s="162" t="s">
        <v>13</v>
      </c>
      <c r="C98" s="164">
        <v>3</v>
      </c>
      <c r="D98" s="164">
        <v>1</v>
      </c>
      <c r="E98" s="20">
        <v>0</v>
      </c>
      <c r="F98" s="20">
        <f>SUM(D98:E98)</f>
        <v>1</v>
      </c>
      <c r="G98" s="20">
        <v>1</v>
      </c>
      <c r="H98" s="20">
        <v>0</v>
      </c>
      <c r="I98" s="20">
        <f>SUM(G98:H98)</f>
        <v>1</v>
      </c>
      <c r="J98" s="20">
        <f>F98-I98</f>
        <v>0</v>
      </c>
      <c r="K98" s="20">
        <v>0</v>
      </c>
      <c r="L98" s="20">
        <f>J98</f>
        <v>0</v>
      </c>
      <c r="M98" s="20">
        <v>0</v>
      </c>
      <c r="N98" s="20">
        <v>0</v>
      </c>
      <c r="O98" s="20">
        <f>SUM(M98:N98)</f>
        <v>0</v>
      </c>
      <c r="P98" s="20">
        <f>SUM(I98,L98)</f>
        <v>1</v>
      </c>
      <c r="Q98" s="20"/>
      <c r="R98" s="20">
        <f>SUM(P98:Q98)</f>
        <v>1</v>
      </c>
    </row>
    <row r="99" spans="1:18" ht="20.100000000000001" customHeight="1">
      <c r="A99" s="210">
        <v>92</v>
      </c>
      <c r="B99" s="169" t="s">
        <v>167</v>
      </c>
      <c r="C99" s="165">
        <v>3</v>
      </c>
      <c r="D99" s="164">
        <v>1</v>
      </c>
      <c r="E99" s="20">
        <v>0</v>
      </c>
      <c r="F99" s="20">
        <f t="shared" ref="F99" si="40">SUM(D99:E99)</f>
        <v>1</v>
      </c>
      <c r="G99" s="20">
        <v>0</v>
      </c>
      <c r="H99" s="20">
        <v>0</v>
      </c>
      <c r="I99" s="20">
        <f t="shared" ref="I99" si="41">SUM(G99:H99)</f>
        <v>0</v>
      </c>
      <c r="J99" s="20">
        <f t="shared" ref="J99" si="42">F99-I99</f>
        <v>1</v>
      </c>
      <c r="K99" s="20">
        <v>0</v>
      </c>
      <c r="L99" s="20">
        <f t="shared" ref="L99" si="43">J99</f>
        <v>1</v>
      </c>
      <c r="M99" s="20">
        <v>1</v>
      </c>
      <c r="N99" s="20">
        <v>0</v>
      </c>
      <c r="O99" s="20">
        <f t="shared" ref="O99" si="44">SUM(M99:N99)</f>
        <v>1</v>
      </c>
      <c r="P99" s="20">
        <f t="shared" ref="P99" si="45">SUM(I99,L99)</f>
        <v>1</v>
      </c>
      <c r="Q99" s="20"/>
      <c r="R99" s="20">
        <f t="shared" ref="R99" si="46">SUM(P99:Q99)</f>
        <v>1</v>
      </c>
    </row>
    <row r="100" spans="1:18" ht="20.100000000000001" customHeight="1">
      <c r="A100" s="210">
        <v>93</v>
      </c>
      <c r="B100" s="162" t="s">
        <v>20</v>
      </c>
      <c r="C100" s="164" t="s">
        <v>191</v>
      </c>
      <c r="D100" s="164">
        <v>3</v>
      </c>
      <c r="E100" s="20">
        <v>0</v>
      </c>
      <c r="F100" s="20">
        <f>SUM(D100:E100)</f>
        <v>3</v>
      </c>
      <c r="G100" s="20">
        <v>3</v>
      </c>
      <c r="H100" s="20">
        <v>0</v>
      </c>
      <c r="I100" s="20">
        <f>SUM(G100:H100)</f>
        <v>3</v>
      </c>
      <c r="J100" s="20">
        <f>F100-I100</f>
        <v>0</v>
      </c>
      <c r="K100" s="20">
        <v>0</v>
      </c>
      <c r="L100" s="20">
        <f>J100</f>
        <v>0</v>
      </c>
      <c r="M100" s="20">
        <v>0</v>
      </c>
      <c r="N100" s="20">
        <v>0</v>
      </c>
      <c r="O100" s="20">
        <f>SUM(M100:N100)</f>
        <v>0</v>
      </c>
      <c r="P100" s="20">
        <f>SUM(I100,L100)</f>
        <v>3</v>
      </c>
      <c r="Q100" s="20"/>
      <c r="R100" s="20">
        <f>SUM(P100:Q100)</f>
        <v>3</v>
      </c>
    </row>
    <row r="101" spans="1:18" ht="23.25" customHeight="1">
      <c r="A101" s="210">
        <v>94</v>
      </c>
      <c r="B101" s="162" t="s">
        <v>98</v>
      </c>
      <c r="C101" s="164">
        <v>2</v>
      </c>
      <c r="D101" s="164">
        <v>1</v>
      </c>
      <c r="E101" s="20">
        <v>0</v>
      </c>
      <c r="F101" s="20">
        <f>SUM(D101:E101)</f>
        <v>1</v>
      </c>
      <c r="G101" s="20">
        <v>1</v>
      </c>
      <c r="H101" s="20">
        <v>0</v>
      </c>
      <c r="I101" s="20">
        <f>SUM(G101:H101)</f>
        <v>1</v>
      </c>
      <c r="J101" s="20">
        <f>F101-I101</f>
        <v>0</v>
      </c>
      <c r="K101" s="20">
        <v>0</v>
      </c>
      <c r="L101" s="20">
        <f>J101</f>
        <v>0</v>
      </c>
      <c r="M101" s="20">
        <v>0</v>
      </c>
      <c r="N101" s="20">
        <v>0</v>
      </c>
      <c r="O101" s="20">
        <v>0</v>
      </c>
      <c r="P101" s="20">
        <f>SUM(I101,L101)</f>
        <v>1</v>
      </c>
      <c r="Q101" s="20"/>
      <c r="R101" s="20">
        <f>SUM(P101:Q101)</f>
        <v>1</v>
      </c>
    </row>
    <row r="102" spans="1:18" ht="23.25" customHeight="1">
      <c r="A102" s="210">
        <v>95</v>
      </c>
      <c r="B102" s="162" t="s">
        <v>13</v>
      </c>
      <c r="C102" s="164">
        <v>2</v>
      </c>
      <c r="D102" s="164">
        <v>1</v>
      </c>
      <c r="E102" s="20">
        <v>0</v>
      </c>
      <c r="F102" s="20">
        <f>SUM(D102:E102)</f>
        <v>1</v>
      </c>
      <c r="G102" s="20">
        <v>1</v>
      </c>
      <c r="H102" s="20">
        <v>0</v>
      </c>
      <c r="I102" s="20">
        <f>SUM(G102:H102)</f>
        <v>1</v>
      </c>
      <c r="J102" s="20">
        <f>F102-I102</f>
        <v>0</v>
      </c>
      <c r="K102" s="20">
        <v>0</v>
      </c>
      <c r="L102" s="20">
        <f>J102</f>
        <v>0</v>
      </c>
      <c r="M102" s="20">
        <v>0</v>
      </c>
      <c r="N102" s="20">
        <v>0</v>
      </c>
      <c r="O102" s="20">
        <v>0</v>
      </c>
      <c r="P102" s="20">
        <f>SUM(I102,L102)</f>
        <v>1</v>
      </c>
      <c r="Q102" s="20"/>
      <c r="R102" s="20">
        <f>SUM(P102:Q102)</f>
        <v>1</v>
      </c>
    </row>
    <row r="103" spans="1:18" ht="23.25" customHeight="1">
      <c r="A103" s="210">
        <v>96</v>
      </c>
      <c r="B103" s="162" t="s">
        <v>13</v>
      </c>
      <c r="C103" s="164" t="s">
        <v>192</v>
      </c>
      <c r="D103" s="164">
        <v>1</v>
      </c>
      <c r="E103" s="170">
        <v>0</v>
      </c>
      <c r="F103" s="19">
        <f t="shared" ref="F103" si="47">SUM(D103:E103)</f>
        <v>1</v>
      </c>
      <c r="G103" s="19">
        <v>1</v>
      </c>
      <c r="H103" s="19">
        <v>0</v>
      </c>
      <c r="I103" s="19">
        <f t="shared" ref="I103" si="48">G103+H103</f>
        <v>1</v>
      </c>
      <c r="J103" s="19">
        <v>0</v>
      </c>
      <c r="K103" s="19">
        <v>0</v>
      </c>
      <c r="L103" s="19">
        <f t="shared" ref="L103" si="49">J103</f>
        <v>0</v>
      </c>
      <c r="M103" s="19">
        <v>0</v>
      </c>
      <c r="N103" s="19">
        <v>0</v>
      </c>
      <c r="O103" s="19">
        <v>0</v>
      </c>
      <c r="P103" s="20">
        <f t="shared" ref="P103" si="50">SUM(I103,L103)</f>
        <v>1</v>
      </c>
      <c r="Q103" s="19"/>
      <c r="R103" s="19">
        <f t="shared" ref="R103" si="51">SUM(P103:Q103)</f>
        <v>1</v>
      </c>
    </row>
    <row r="104" spans="1:18" ht="20.100000000000001" customHeight="1">
      <c r="A104" s="210">
        <v>97</v>
      </c>
      <c r="B104" s="162" t="s">
        <v>240</v>
      </c>
      <c r="C104" s="164">
        <v>2</v>
      </c>
      <c r="D104" s="164">
        <v>2</v>
      </c>
      <c r="E104" s="20">
        <v>0</v>
      </c>
      <c r="F104" s="20">
        <f>SUM(D104:E104)</f>
        <v>2</v>
      </c>
      <c r="G104" s="20">
        <v>2</v>
      </c>
      <c r="H104" s="20">
        <v>0</v>
      </c>
      <c r="I104" s="20">
        <f>SUM(G104:H104)</f>
        <v>2</v>
      </c>
      <c r="J104" s="20">
        <f>F104-I104</f>
        <v>0</v>
      </c>
      <c r="K104" s="20">
        <v>0</v>
      </c>
      <c r="L104" s="20">
        <f>J104</f>
        <v>0</v>
      </c>
      <c r="M104" s="20">
        <v>0</v>
      </c>
      <c r="N104" s="20">
        <v>0</v>
      </c>
      <c r="O104" s="20">
        <v>0</v>
      </c>
      <c r="P104" s="20">
        <f t="shared" ref="P104:P112" si="52">SUM(I104,L104)</f>
        <v>2</v>
      </c>
      <c r="Q104" s="20"/>
      <c r="R104" s="20">
        <f>SUM(P104:Q104)</f>
        <v>2</v>
      </c>
    </row>
    <row r="105" spans="1:18" ht="20.100000000000001" customHeight="1">
      <c r="A105" s="210">
        <v>98</v>
      </c>
      <c r="B105" s="169" t="s">
        <v>167</v>
      </c>
      <c r="C105" s="165">
        <v>2</v>
      </c>
      <c r="D105" s="164">
        <v>3</v>
      </c>
      <c r="E105" s="20">
        <v>0</v>
      </c>
      <c r="F105" s="20">
        <f>SUM(D105:E105)</f>
        <v>3</v>
      </c>
      <c r="G105" s="20">
        <v>3</v>
      </c>
      <c r="H105" s="20">
        <v>0</v>
      </c>
      <c r="I105" s="20">
        <f>SUM(G105:H105)</f>
        <v>3</v>
      </c>
      <c r="J105" s="20">
        <f>F105-I105</f>
        <v>0</v>
      </c>
      <c r="K105" s="20">
        <v>0</v>
      </c>
      <c r="L105" s="20">
        <f>J105</f>
        <v>0</v>
      </c>
      <c r="M105" s="20">
        <v>0</v>
      </c>
      <c r="N105" s="20">
        <v>0</v>
      </c>
      <c r="O105" s="20">
        <f>SUM(M105:N105)</f>
        <v>0</v>
      </c>
      <c r="P105" s="20">
        <f t="shared" si="52"/>
        <v>3</v>
      </c>
      <c r="Q105" s="20"/>
      <c r="R105" s="20">
        <f>SUM(P105:Q105)</f>
        <v>3</v>
      </c>
    </row>
    <row r="106" spans="1:18" ht="20.100000000000001" customHeight="1">
      <c r="A106" s="210">
        <v>99</v>
      </c>
      <c r="B106" s="162" t="s">
        <v>19</v>
      </c>
      <c r="C106" s="164">
        <v>2</v>
      </c>
      <c r="D106" s="164">
        <v>5</v>
      </c>
      <c r="E106" s="20">
        <v>0</v>
      </c>
      <c r="F106" s="20">
        <f>SUM(D106:E106)</f>
        <v>5</v>
      </c>
      <c r="G106" s="20">
        <v>5</v>
      </c>
      <c r="H106" s="20">
        <v>0</v>
      </c>
      <c r="I106" s="20">
        <f>SUM(G106:H106)</f>
        <v>5</v>
      </c>
      <c r="J106" s="20">
        <v>0</v>
      </c>
      <c r="K106" s="20">
        <v>0</v>
      </c>
      <c r="L106" s="20">
        <f>J106</f>
        <v>0</v>
      </c>
      <c r="M106" s="20">
        <v>0</v>
      </c>
      <c r="N106" s="20">
        <v>0</v>
      </c>
      <c r="O106" s="20">
        <f>SUM(M106:N106)</f>
        <v>0</v>
      </c>
      <c r="P106" s="20">
        <f t="shared" si="52"/>
        <v>5</v>
      </c>
      <c r="Q106" s="20"/>
      <c r="R106" s="20">
        <f>SUM(P106:Q106)</f>
        <v>5</v>
      </c>
    </row>
    <row r="107" spans="1:18" ht="20.100000000000001" customHeight="1">
      <c r="A107" s="210">
        <v>100</v>
      </c>
      <c r="B107" s="169" t="s">
        <v>13</v>
      </c>
      <c r="C107" s="164">
        <v>2</v>
      </c>
      <c r="D107" s="164">
        <v>1</v>
      </c>
      <c r="E107" s="20">
        <v>0</v>
      </c>
      <c r="F107" s="20">
        <f>SUM(D107:E107)</f>
        <v>1</v>
      </c>
      <c r="G107" s="20">
        <v>1</v>
      </c>
      <c r="H107" s="20">
        <v>0</v>
      </c>
      <c r="I107" s="20">
        <f>SUM(G107:H107)</f>
        <v>1</v>
      </c>
      <c r="J107" s="20">
        <f>F107-I107</f>
        <v>0</v>
      </c>
      <c r="K107" s="20">
        <v>0</v>
      </c>
      <c r="L107" s="20">
        <f>J107</f>
        <v>0</v>
      </c>
      <c r="M107" s="20">
        <v>0</v>
      </c>
      <c r="N107" s="20">
        <v>0</v>
      </c>
      <c r="O107" s="20">
        <f>SUM(M107:N107)</f>
        <v>0</v>
      </c>
      <c r="P107" s="20">
        <f t="shared" si="52"/>
        <v>1</v>
      </c>
      <c r="Q107" s="20"/>
      <c r="R107" s="20">
        <f>SUM(P107:Q107)</f>
        <v>1</v>
      </c>
    </row>
    <row r="108" spans="1:18" ht="20.100000000000001" customHeight="1">
      <c r="A108" s="210">
        <v>101</v>
      </c>
      <c r="B108" s="162" t="s">
        <v>20</v>
      </c>
      <c r="C108" s="164" t="s">
        <v>192</v>
      </c>
      <c r="D108" s="164">
        <v>7</v>
      </c>
      <c r="E108" s="20">
        <v>0</v>
      </c>
      <c r="F108" s="20">
        <f>SUM(D108:E108)</f>
        <v>7</v>
      </c>
      <c r="G108" s="20">
        <v>7</v>
      </c>
      <c r="H108" s="20">
        <v>0</v>
      </c>
      <c r="I108" s="20">
        <f>SUM(G108:H108)</f>
        <v>7</v>
      </c>
      <c r="J108" s="20">
        <v>0</v>
      </c>
      <c r="K108" s="20">
        <v>0</v>
      </c>
      <c r="L108" s="20">
        <f>J108</f>
        <v>0</v>
      </c>
      <c r="M108" s="20">
        <v>0</v>
      </c>
      <c r="N108" s="20">
        <v>0</v>
      </c>
      <c r="O108" s="20">
        <f>SUM(M108:N108)</f>
        <v>0</v>
      </c>
      <c r="P108" s="20">
        <f t="shared" si="52"/>
        <v>7</v>
      </c>
      <c r="Q108" s="20"/>
      <c r="R108" s="20">
        <f>SUM(P108:Q108)</f>
        <v>7</v>
      </c>
    </row>
    <row r="109" spans="1:18" ht="23.25" customHeight="1">
      <c r="A109" s="210">
        <v>102</v>
      </c>
      <c r="B109" s="162" t="s">
        <v>13</v>
      </c>
      <c r="C109" s="164">
        <v>1</v>
      </c>
      <c r="D109" s="164">
        <v>1</v>
      </c>
      <c r="E109" s="19">
        <v>0</v>
      </c>
      <c r="F109" s="19">
        <f t="shared" ref="F109" si="53">SUM(D109:E109)</f>
        <v>1</v>
      </c>
      <c r="G109" s="19">
        <v>1</v>
      </c>
      <c r="H109" s="19">
        <v>0</v>
      </c>
      <c r="I109" s="19">
        <f t="shared" ref="I109" si="54">G109+H109</f>
        <v>1</v>
      </c>
      <c r="J109" s="19">
        <v>0</v>
      </c>
      <c r="K109" s="19">
        <v>0</v>
      </c>
      <c r="L109" s="19">
        <f t="shared" ref="L109" si="55">J109</f>
        <v>0</v>
      </c>
      <c r="M109" s="19">
        <v>0</v>
      </c>
      <c r="N109" s="19">
        <v>0</v>
      </c>
      <c r="O109" s="19">
        <v>0</v>
      </c>
      <c r="P109" s="20">
        <f t="shared" si="52"/>
        <v>1</v>
      </c>
      <c r="Q109" s="19"/>
      <c r="R109" s="19">
        <f t="shared" ref="R109" si="56">SUM(P109:Q109)</f>
        <v>1</v>
      </c>
    </row>
    <row r="110" spans="1:18" ht="23.25" customHeight="1">
      <c r="A110" s="210">
        <v>103</v>
      </c>
      <c r="B110" s="162" t="s">
        <v>184</v>
      </c>
      <c r="C110" s="166">
        <v>1</v>
      </c>
      <c r="D110" s="164">
        <v>1</v>
      </c>
      <c r="E110" s="20">
        <v>0</v>
      </c>
      <c r="F110" s="20">
        <f>SUM(D110:E110)</f>
        <v>1</v>
      </c>
      <c r="G110" s="20">
        <v>1</v>
      </c>
      <c r="H110" s="20">
        <v>0</v>
      </c>
      <c r="I110" s="20">
        <f>SUM(G110:H110)</f>
        <v>1</v>
      </c>
      <c r="J110" s="20">
        <f>F110-I110</f>
        <v>0</v>
      </c>
      <c r="K110" s="20">
        <v>0</v>
      </c>
      <c r="L110" s="20">
        <f>J110</f>
        <v>0</v>
      </c>
      <c r="M110" s="20">
        <v>0</v>
      </c>
      <c r="N110" s="20">
        <v>0</v>
      </c>
      <c r="O110" s="20">
        <f t="shared" ref="O110" si="57">SUM(M110:N110)</f>
        <v>0</v>
      </c>
      <c r="P110" s="20">
        <f t="shared" si="52"/>
        <v>1</v>
      </c>
      <c r="Q110" s="20"/>
      <c r="R110" s="20">
        <f>SUM(P110:Q110)</f>
        <v>1</v>
      </c>
    </row>
    <row r="111" spans="1:18" ht="23.25" customHeight="1">
      <c r="A111" s="210">
        <v>104</v>
      </c>
      <c r="B111" s="162" t="s">
        <v>13</v>
      </c>
      <c r="C111" s="166">
        <v>1</v>
      </c>
      <c r="D111" s="166">
        <v>4</v>
      </c>
      <c r="E111" s="20">
        <v>0</v>
      </c>
      <c r="F111" s="20">
        <f>SUM(D111:E111)</f>
        <v>4</v>
      </c>
      <c r="G111" s="20">
        <v>4</v>
      </c>
      <c r="H111" s="20">
        <v>0</v>
      </c>
      <c r="I111" s="20">
        <f>SUM(G111:H111)</f>
        <v>4</v>
      </c>
      <c r="J111" s="20">
        <f>F111-I111</f>
        <v>0</v>
      </c>
      <c r="K111" s="20">
        <v>0</v>
      </c>
      <c r="L111" s="20">
        <f>J111</f>
        <v>0</v>
      </c>
      <c r="M111" s="20">
        <v>0</v>
      </c>
      <c r="N111" s="20">
        <v>0</v>
      </c>
      <c r="O111" s="20">
        <v>0</v>
      </c>
      <c r="P111" s="20">
        <f t="shared" si="52"/>
        <v>4</v>
      </c>
      <c r="Q111" s="20"/>
      <c r="R111" s="20">
        <f>SUM(P111:Q111)</f>
        <v>4</v>
      </c>
    </row>
    <row r="112" spans="1:18" ht="23.25" customHeight="1">
      <c r="A112" s="210">
        <v>105</v>
      </c>
      <c r="B112" s="162" t="s">
        <v>108</v>
      </c>
      <c r="C112" s="164">
        <v>1</v>
      </c>
      <c r="D112" s="166">
        <v>1</v>
      </c>
      <c r="E112" s="20">
        <v>0</v>
      </c>
      <c r="F112" s="20">
        <f>SUM(D112:E112)</f>
        <v>1</v>
      </c>
      <c r="G112" s="20">
        <v>0</v>
      </c>
      <c r="H112" s="20">
        <v>0</v>
      </c>
      <c r="I112" s="20">
        <f>SUM(G112:H112)</f>
        <v>0</v>
      </c>
      <c r="J112" s="20">
        <f>F112-I112</f>
        <v>1</v>
      </c>
      <c r="K112" s="20">
        <v>0</v>
      </c>
      <c r="L112" s="20">
        <f>J112</f>
        <v>1</v>
      </c>
      <c r="M112" s="20">
        <v>1</v>
      </c>
      <c r="N112" s="20">
        <v>0</v>
      </c>
      <c r="O112" s="20">
        <v>1</v>
      </c>
      <c r="P112" s="20">
        <f t="shared" si="52"/>
        <v>1</v>
      </c>
      <c r="Q112" s="20"/>
      <c r="R112" s="20">
        <f>SUM(P112:Q112)</f>
        <v>1</v>
      </c>
    </row>
    <row r="113" spans="1:18" ht="23.25" customHeight="1">
      <c r="A113" s="210">
        <v>106</v>
      </c>
      <c r="B113" s="162" t="s">
        <v>236</v>
      </c>
      <c r="C113" s="164">
        <v>1</v>
      </c>
      <c r="D113" s="164">
        <v>2</v>
      </c>
      <c r="E113" s="19">
        <v>0</v>
      </c>
      <c r="F113" s="19">
        <f t="shared" ref="F113:F116" si="58">SUM(D113:E113)</f>
        <v>2</v>
      </c>
      <c r="G113" s="19">
        <v>2</v>
      </c>
      <c r="H113" s="19">
        <v>0</v>
      </c>
      <c r="I113" s="19">
        <f t="shared" ref="I113" si="59">SUM(G113:H113)</f>
        <v>2</v>
      </c>
      <c r="J113" s="19">
        <f t="shared" ref="J113" si="60">F113-I113</f>
        <v>0</v>
      </c>
      <c r="K113" s="19">
        <v>0</v>
      </c>
      <c r="L113" s="19">
        <f t="shared" ref="L113" si="61">J113</f>
        <v>0</v>
      </c>
      <c r="M113" s="19">
        <v>0</v>
      </c>
      <c r="N113" s="19">
        <v>0</v>
      </c>
      <c r="O113" s="19">
        <f t="shared" ref="O113" si="62">SUM(M113:N113)</f>
        <v>0</v>
      </c>
      <c r="P113" s="19">
        <f t="shared" ref="P113" si="63">SUM(I113,L113)</f>
        <v>2</v>
      </c>
      <c r="Q113" s="19"/>
      <c r="R113" s="19">
        <f t="shared" ref="R113" si="64">SUM(P113:Q113)</f>
        <v>2</v>
      </c>
    </row>
    <row r="114" spans="1:18" ht="23.25" customHeight="1">
      <c r="A114" s="210">
        <v>107</v>
      </c>
      <c r="B114" s="162" t="s">
        <v>237</v>
      </c>
      <c r="C114" s="164">
        <v>1</v>
      </c>
      <c r="D114" s="164">
        <v>1</v>
      </c>
      <c r="E114" s="20">
        <v>0</v>
      </c>
      <c r="F114" s="20">
        <f>SUM(D114:E114)</f>
        <v>1</v>
      </c>
      <c r="G114" s="20">
        <v>1</v>
      </c>
      <c r="H114" s="20">
        <v>0</v>
      </c>
      <c r="I114" s="20">
        <f>SUM(G114:H114)</f>
        <v>1</v>
      </c>
      <c r="J114" s="20">
        <f>F114-I114</f>
        <v>0</v>
      </c>
      <c r="K114" s="20">
        <v>0</v>
      </c>
      <c r="L114" s="20">
        <f>J114</f>
        <v>0</v>
      </c>
      <c r="M114" s="20">
        <v>0</v>
      </c>
      <c r="N114" s="20">
        <v>0</v>
      </c>
      <c r="O114" s="20">
        <v>0</v>
      </c>
      <c r="P114" s="20">
        <f>SUM(I114,L114)</f>
        <v>1</v>
      </c>
      <c r="Q114" s="20"/>
      <c r="R114" s="20">
        <f>SUM(P114:Q114)</f>
        <v>1</v>
      </c>
    </row>
    <row r="115" spans="1:18" ht="23.25" customHeight="1">
      <c r="A115" s="210">
        <v>108</v>
      </c>
      <c r="B115" s="162" t="s">
        <v>146</v>
      </c>
      <c r="C115" s="164">
        <v>1</v>
      </c>
      <c r="D115" s="164">
        <v>1</v>
      </c>
      <c r="E115" s="20">
        <v>0</v>
      </c>
      <c r="F115" s="20">
        <f>SUM(D115:E115)</f>
        <v>1</v>
      </c>
      <c r="G115" s="20">
        <v>1</v>
      </c>
      <c r="H115" s="20">
        <v>0</v>
      </c>
      <c r="I115" s="20">
        <f>SUM(G115:H115)</f>
        <v>1</v>
      </c>
      <c r="J115" s="20">
        <f>F115-I115</f>
        <v>0</v>
      </c>
      <c r="K115" s="20">
        <v>0</v>
      </c>
      <c r="L115" s="20">
        <f>J115</f>
        <v>0</v>
      </c>
      <c r="M115" s="20">
        <v>0</v>
      </c>
      <c r="N115" s="20">
        <v>0</v>
      </c>
      <c r="O115" s="20">
        <v>0</v>
      </c>
      <c r="P115" s="20">
        <f>SUM(I115,L115)</f>
        <v>1</v>
      </c>
      <c r="Q115" s="20"/>
      <c r="R115" s="20">
        <f>SUM(P115:Q115)</f>
        <v>1</v>
      </c>
    </row>
    <row r="116" spans="1:18" ht="20.100000000000001" customHeight="1">
      <c r="A116" s="210">
        <v>109</v>
      </c>
      <c r="B116" s="162" t="s">
        <v>206</v>
      </c>
      <c r="C116" s="164">
        <v>1</v>
      </c>
      <c r="D116" s="164">
        <v>5</v>
      </c>
      <c r="E116" s="19">
        <v>0</v>
      </c>
      <c r="F116" s="19">
        <f t="shared" si="58"/>
        <v>5</v>
      </c>
      <c r="G116" s="19">
        <v>1</v>
      </c>
      <c r="H116" s="19">
        <v>0</v>
      </c>
      <c r="I116" s="19">
        <f t="shared" ref="I116" si="65">SUM(G116:H116)</f>
        <v>1</v>
      </c>
      <c r="J116" s="19">
        <f t="shared" ref="J116" si="66">F116-I116</f>
        <v>4</v>
      </c>
      <c r="K116" s="19">
        <v>0</v>
      </c>
      <c r="L116" s="19">
        <f t="shared" ref="L116" si="67">J116</f>
        <v>4</v>
      </c>
      <c r="M116" s="19">
        <v>4</v>
      </c>
      <c r="N116" s="19">
        <v>0</v>
      </c>
      <c r="O116" s="19">
        <f t="shared" ref="O116" si="68">SUM(M116:N116)</f>
        <v>4</v>
      </c>
      <c r="P116" s="19">
        <f t="shared" ref="P116" si="69">SUM(I116,L116)</f>
        <v>5</v>
      </c>
      <c r="Q116" s="19"/>
      <c r="R116" s="19">
        <f t="shared" ref="R116" si="70">SUM(P116:Q116)</f>
        <v>5</v>
      </c>
    </row>
    <row r="117" spans="1:18" ht="20.100000000000001" customHeight="1">
      <c r="A117" s="210">
        <v>110</v>
      </c>
      <c r="B117" s="162" t="s">
        <v>103</v>
      </c>
      <c r="C117" s="164">
        <v>1</v>
      </c>
      <c r="D117" s="164">
        <v>2</v>
      </c>
      <c r="E117" s="20">
        <v>0</v>
      </c>
      <c r="F117" s="20">
        <f>SUM(D117:E117)</f>
        <v>2</v>
      </c>
      <c r="G117" s="20">
        <v>2</v>
      </c>
      <c r="H117" s="20">
        <v>0</v>
      </c>
      <c r="I117" s="20">
        <f>SUM(G117:H117)</f>
        <v>2</v>
      </c>
      <c r="J117" s="20">
        <f>F117-I117</f>
        <v>0</v>
      </c>
      <c r="K117" s="20">
        <v>0</v>
      </c>
      <c r="L117" s="20">
        <f>J117</f>
        <v>0</v>
      </c>
      <c r="M117" s="20">
        <v>0</v>
      </c>
      <c r="N117" s="20">
        <v>0</v>
      </c>
      <c r="O117" s="20">
        <f>SUM(M117:N117)</f>
        <v>0</v>
      </c>
      <c r="P117" s="20">
        <f>SUM(I117,L117)</f>
        <v>2</v>
      </c>
      <c r="Q117" s="20"/>
      <c r="R117" s="20">
        <f>SUM(P117:Q117)</f>
        <v>2</v>
      </c>
    </row>
    <row r="118" spans="1:18" ht="20.100000000000001" customHeight="1">
      <c r="A118" s="210">
        <v>111</v>
      </c>
      <c r="B118" s="162" t="s">
        <v>190</v>
      </c>
      <c r="C118" s="164">
        <v>1</v>
      </c>
      <c r="D118" s="164">
        <v>2</v>
      </c>
      <c r="E118" s="19">
        <v>0</v>
      </c>
      <c r="F118" s="19">
        <f>SUM(D118:E118)</f>
        <v>2</v>
      </c>
      <c r="G118" s="19">
        <v>0</v>
      </c>
      <c r="H118" s="19">
        <v>1</v>
      </c>
      <c r="I118" s="19">
        <f>SUM(G118:H118)</f>
        <v>1</v>
      </c>
      <c r="J118" s="19">
        <f>F118-I118</f>
        <v>1</v>
      </c>
      <c r="K118" s="19">
        <v>0</v>
      </c>
      <c r="L118" s="19">
        <f>J118</f>
        <v>1</v>
      </c>
      <c r="M118" s="19">
        <v>1</v>
      </c>
      <c r="N118" s="19">
        <v>0</v>
      </c>
      <c r="O118" s="19">
        <f>SUM(M118:N118)</f>
        <v>1</v>
      </c>
      <c r="P118" s="19">
        <v>2</v>
      </c>
      <c r="Q118" s="19">
        <v>0</v>
      </c>
      <c r="R118" s="19">
        <f>SUM(P118:Q118)</f>
        <v>2</v>
      </c>
    </row>
    <row r="119" spans="1:18" ht="20.100000000000001" customHeight="1">
      <c r="A119" s="210">
        <v>112</v>
      </c>
      <c r="B119" s="169" t="s">
        <v>167</v>
      </c>
      <c r="C119" s="165">
        <v>1</v>
      </c>
      <c r="D119" s="164">
        <v>5</v>
      </c>
      <c r="E119" s="20">
        <v>0</v>
      </c>
      <c r="F119" s="20">
        <f t="shared" ref="F119" si="71">SUM(D119:E119)</f>
        <v>5</v>
      </c>
      <c r="G119" s="20">
        <v>3</v>
      </c>
      <c r="H119" s="20">
        <v>0</v>
      </c>
      <c r="I119" s="20">
        <f t="shared" ref="I119" si="72">SUM(G119:H119)</f>
        <v>3</v>
      </c>
      <c r="J119" s="20">
        <f t="shared" ref="J119" si="73">F119-I119</f>
        <v>2</v>
      </c>
      <c r="K119" s="20">
        <v>0</v>
      </c>
      <c r="L119" s="20">
        <f t="shared" ref="L119" si="74">J119</f>
        <v>2</v>
      </c>
      <c r="M119" s="20">
        <v>2</v>
      </c>
      <c r="N119" s="20">
        <v>0</v>
      </c>
      <c r="O119" s="20">
        <f t="shared" ref="O119" si="75">SUM(M119:N119)</f>
        <v>2</v>
      </c>
      <c r="P119" s="20">
        <f t="shared" ref="P119" si="76">SUM(I119,L119)</f>
        <v>5</v>
      </c>
      <c r="Q119" s="20"/>
      <c r="R119" s="20">
        <f t="shared" ref="R119" si="77">SUM(P119:Q119)</f>
        <v>5</v>
      </c>
    </row>
    <row r="120" spans="1:18" ht="20.100000000000001" customHeight="1">
      <c r="A120" s="210">
        <v>113</v>
      </c>
      <c r="B120" s="162" t="s">
        <v>236</v>
      </c>
      <c r="C120" s="165">
        <v>1</v>
      </c>
      <c r="D120" s="164">
        <v>1</v>
      </c>
      <c r="E120" s="20">
        <v>0</v>
      </c>
      <c r="F120" s="20">
        <v>1</v>
      </c>
      <c r="G120" s="20">
        <v>1</v>
      </c>
      <c r="H120" s="20">
        <v>0</v>
      </c>
      <c r="I120" s="20">
        <f>SUM(G120:H120)</f>
        <v>1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1</v>
      </c>
      <c r="Q120" s="20"/>
      <c r="R120" s="20">
        <v>1</v>
      </c>
    </row>
    <row r="121" spans="1:18" ht="20.100000000000001" customHeight="1">
      <c r="A121" s="210">
        <v>114</v>
      </c>
      <c r="B121" s="162" t="s">
        <v>177</v>
      </c>
      <c r="C121" s="164">
        <v>1</v>
      </c>
      <c r="D121" s="164">
        <v>8</v>
      </c>
      <c r="E121" s="20">
        <v>0</v>
      </c>
      <c r="F121" s="20">
        <f>SUM(D121:E121)</f>
        <v>8</v>
      </c>
      <c r="G121" s="20">
        <v>4</v>
      </c>
      <c r="H121" s="20">
        <v>0</v>
      </c>
      <c r="I121" s="20">
        <f>SUM(G121:H121)</f>
        <v>4</v>
      </c>
      <c r="J121" s="20">
        <f t="shared" ref="J121:J122" si="78">F121-I121</f>
        <v>4</v>
      </c>
      <c r="K121" s="20">
        <v>0</v>
      </c>
      <c r="L121" s="20">
        <f>J121</f>
        <v>4</v>
      </c>
      <c r="M121" s="20">
        <v>4</v>
      </c>
      <c r="N121" s="20">
        <v>0</v>
      </c>
      <c r="O121" s="20">
        <f>SUM(M121:N121)</f>
        <v>4</v>
      </c>
      <c r="P121" s="20">
        <f t="shared" ref="P121:P123" si="79">SUM(I121,L121)</f>
        <v>8</v>
      </c>
      <c r="Q121" s="20"/>
      <c r="R121" s="20">
        <f>SUM(P121:Q121)</f>
        <v>8</v>
      </c>
    </row>
    <row r="122" spans="1:18" ht="20.100000000000001" customHeight="1">
      <c r="A122" s="210">
        <v>115</v>
      </c>
      <c r="B122" s="162" t="s">
        <v>200</v>
      </c>
      <c r="C122" s="164">
        <v>1</v>
      </c>
      <c r="D122" s="164">
        <v>1</v>
      </c>
      <c r="E122" s="20">
        <v>0</v>
      </c>
      <c r="F122" s="20">
        <f>SUM(D122:E122)</f>
        <v>1</v>
      </c>
      <c r="G122" s="20">
        <v>1</v>
      </c>
      <c r="H122" s="20">
        <v>0</v>
      </c>
      <c r="I122" s="20">
        <f>SUM(G122:H122)</f>
        <v>1</v>
      </c>
      <c r="J122" s="20">
        <f t="shared" si="78"/>
        <v>0</v>
      </c>
      <c r="K122" s="20">
        <v>0</v>
      </c>
      <c r="L122" s="20">
        <f>J122</f>
        <v>0</v>
      </c>
      <c r="M122" s="20">
        <v>0</v>
      </c>
      <c r="N122" s="20">
        <v>0</v>
      </c>
      <c r="O122" s="20">
        <f>SUM(M122:N122)</f>
        <v>0</v>
      </c>
      <c r="P122" s="20">
        <f t="shared" si="79"/>
        <v>1</v>
      </c>
      <c r="Q122" s="20"/>
      <c r="R122" s="20">
        <f>SUM(P122:Q122)</f>
        <v>1</v>
      </c>
    </row>
    <row r="123" spans="1:18" ht="20.100000000000001" customHeight="1">
      <c r="A123" s="210">
        <v>116</v>
      </c>
      <c r="B123" s="169" t="s">
        <v>13</v>
      </c>
      <c r="C123" s="165">
        <v>1</v>
      </c>
      <c r="D123" s="164">
        <v>5</v>
      </c>
      <c r="E123" s="20">
        <v>0</v>
      </c>
      <c r="F123" s="20">
        <f>SUM(D123:E123)</f>
        <v>5</v>
      </c>
      <c r="G123" s="20">
        <v>1</v>
      </c>
      <c r="H123" s="20">
        <v>0</v>
      </c>
      <c r="I123" s="20">
        <f>SUM(G123:H123)</f>
        <v>1</v>
      </c>
      <c r="J123" s="20">
        <v>4</v>
      </c>
      <c r="K123" s="20">
        <v>0</v>
      </c>
      <c r="L123" s="20">
        <f>J123</f>
        <v>4</v>
      </c>
      <c r="M123" s="20">
        <v>4</v>
      </c>
      <c r="N123" s="20">
        <v>0</v>
      </c>
      <c r="O123" s="20">
        <f>SUM(M123:N123)</f>
        <v>4</v>
      </c>
      <c r="P123" s="20">
        <f t="shared" si="79"/>
        <v>5</v>
      </c>
      <c r="Q123" s="20"/>
      <c r="R123" s="20">
        <f>SUM(P123:Q123)</f>
        <v>5</v>
      </c>
    </row>
    <row r="124" spans="1:18" ht="23.25" customHeight="1">
      <c r="A124" s="210">
        <v>117</v>
      </c>
      <c r="B124" s="162" t="s">
        <v>20</v>
      </c>
      <c r="C124" s="164">
        <v>1</v>
      </c>
      <c r="D124" s="164">
        <v>121</v>
      </c>
      <c r="E124" s="20">
        <v>5</v>
      </c>
      <c r="F124" s="20">
        <f t="shared" ref="F124" si="80">SUM(D124:E124)</f>
        <v>126</v>
      </c>
      <c r="G124" s="20">
        <v>104</v>
      </c>
      <c r="H124" s="20">
        <v>5</v>
      </c>
      <c r="I124" s="20">
        <f t="shared" ref="I124" si="81">SUM(G124:H124)</f>
        <v>109</v>
      </c>
      <c r="J124" s="20">
        <v>17</v>
      </c>
      <c r="K124" s="20">
        <v>0</v>
      </c>
      <c r="L124" s="20">
        <f t="shared" ref="L124" si="82">J124</f>
        <v>17</v>
      </c>
      <c r="M124" s="20">
        <v>17</v>
      </c>
      <c r="N124" s="20">
        <v>0</v>
      </c>
      <c r="O124" s="20">
        <f t="shared" ref="O124" si="83">SUM(M124:N124)</f>
        <v>17</v>
      </c>
      <c r="P124" s="20">
        <v>121</v>
      </c>
      <c r="Q124" s="20">
        <v>5</v>
      </c>
      <c r="R124" s="20">
        <f t="shared" ref="R124" si="84">SUM(P124:Q124)</f>
        <v>126</v>
      </c>
    </row>
    <row r="125" spans="1:18" ht="23.25" customHeight="1">
      <c r="A125" s="210">
        <v>118</v>
      </c>
      <c r="B125" s="162" t="s">
        <v>24</v>
      </c>
      <c r="C125" s="164" t="s">
        <v>45</v>
      </c>
      <c r="D125" s="166">
        <v>1</v>
      </c>
      <c r="E125" s="20">
        <v>0</v>
      </c>
      <c r="F125" s="20">
        <f t="shared" ref="F125" si="85">SUM(D125:E125)</f>
        <v>1</v>
      </c>
      <c r="G125" s="20">
        <v>1</v>
      </c>
      <c r="H125" s="20">
        <v>0</v>
      </c>
      <c r="I125" s="20">
        <f t="shared" ref="I125" si="86">SUM(G125:H125)</f>
        <v>1</v>
      </c>
      <c r="J125" s="20">
        <f t="shared" ref="J125" si="87">F125-I125</f>
        <v>0</v>
      </c>
      <c r="K125" s="20">
        <v>0</v>
      </c>
      <c r="L125" s="20">
        <f t="shared" ref="L125" si="88">J125</f>
        <v>0</v>
      </c>
      <c r="M125" s="20">
        <v>0</v>
      </c>
      <c r="N125" s="20">
        <v>0</v>
      </c>
      <c r="O125" s="20">
        <v>0</v>
      </c>
      <c r="P125" s="20">
        <f t="shared" ref="P125" si="89">SUM(I125,L125)</f>
        <v>1</v>
      </c>
      <c r="Q125" s="20"/>
      <c r="R125" s="20">
        <f t="shared" ref="R125" si="90">SUM(P125:Q125)</f>
        <v>1</v>
      </c>
    </row>
    <row r="126" spans="1:18" ht="23.25" customHeight="1" thickBot="1">
      <c r="A126" s="210">
        <v>119</v>
      </c>
      <c r="B126" s="162" t="s">
        <v>207</v>
      </c>
      <c r="C126" s="164" t="s">
        <v>45</v>
      </c>
      <c r="D126" s="164">
        <v>1</v>
      </c>
      <c r="E126" s="20">
        <v>0</v>
      </c>
      <c r="F126" s="20">
        <f t="shared" ref="F126" si="91">SUM(D126:E126)</f>
        <v>1</v>
      </c>
      <c r="G126" s="20">
        <v>0</v>
      </c>
      <c r="H126" s="20">
        <v>0</v>
      </c>
      <c r="I126" s="20">
        <f t="shared" ref="I126" si="92">SUM(G126:H126)</f>
        <v>0</v>
      </c>
      <c r="J126" s="20">
        <f t="shared" ref="J126" si="93">F126-I126</f>
        <v>1</v>
      </c>
      <c r="K126" s="20">
        <v>0</v>
      </c>
      <c r="L126" s="20">
        <f t="shared" ref="L126" si="94">J126</f>
        <v>1</v>
      </c>
      <c r="M126" s="20">
        <v>1</v>
      </c>
      <c r="N126" s="20">
        <v>0</v>
      </c>
      <c r="O126" s="20">
        <v>1</v>
      </c>
      <c r="P126" s="20">
        <f t="shared" ref="P126" si="95">SUM(I126,L126)</f>
        <v>1</v>
      </c>
      <c r="Q126" s="20"/>
      <c r="R126" s="20">
        <f t="shared" ref="R126" si="96">SUM(P126:Q126)</f>
        <v>1</v>
      </c>
    </row>
    <row r="127" spans="1:18" ht="23.25" customHeight="1" thickBot="1">
      <c r="A127" s="310" t="s">
        <v>1</v>
      </c>
      <c r="B127" s="311"/>
      <c r="C127" s="214"/>
      <c r="D127" s="211">
        <f t="shared" ref="D127:R127" si="97">SUM(D8:D126)</f>
        <v>311</v>
      </c>
      <c r="E127" s="211">
        <f t="shared" si="97"/>
        <v>12</v>
      </c>
      <c r="F127" s="211">
        <f t="shared" si="97"/>
        <v>323</v>
      </c>
      <c r="G127" s="211">
        <f t="shared" si="97"/>
        <v>240</v>
      </c>
      <c r="H127" s="211">
        <f t="shared" si="97"/>
        <v>11</v>
      </c>
      <c r="I127" s="211">
        <f t="shared" si="97"/>
        <v>251</v>
      </c>
      <c r="J127" s="211">
        <f t="shared" si="97"/>
        <v>70</v>
      </c>
      <c r="K127" s="211">
        <f t="shared" si="97"/>
        <v>2</v>
      </c>
      <c r="L127" s="211">
        <f t="shared" si="97"/>
        <v>72</v>
      </c>
      <c r="M127" s="211">
        <f t="shared" si="97"/>
        <v>70</v>
      </c>
      <c r="N127" s="211">
        <f t="shared" si="97"/>
        <v>2</v>
      </c>
      <c r="O127" s="211">
        <f t="shared" si="97"/>
        <v>72</v>
      </c>
      <c r="P127" s="211">
        <f t="shared" si="97"/>
        <v>311</v>
      </c>
      <c r="Q127" s="211">
        <f t="shared" si="97"/>
        <v>12</v>
      </c>
      <c r="R127" s="212">
        <f t="shared" si="97"/>
        <v>323</v>
      </c>
    </row>
  </sheetData>
  <mergeCells count="13">
    <mergeCell ref="M5:O6"/>
    <mergeCell ref="P5:R6"/>
    <mergeCell ref="A127:B127"/>
    <mergeCell ref="A1:R1"/>
    <mergeCell ref="A2:R2"/>
    <mergeCell ref="A3:R3"/>
    <mergeCell ref="A4:R4"/>
    <mergeCell ref="A5:A7"/>
    <mergeCell ref="B5:B7"/>
    <mergeCell ref="C5:C7"/>
    <mergeCell ref="D5:F6"/>
    <mergeCell ref="G5:I6"/>
    <mergeCell ref="J5:L6"/>
  </mergeCells>
  <pageMargins left="0.75" right="0.6" top="1" bottom="1" header="0.4" footer="0"/>
  <pageSetup paperSize="9" scale="82" firstPageNumber="57" orientation="landscape" useFirstPageNumber="1" r:id="rId1"/>
  <headerFooter alignWithMargins="0"/>
  <rowBreaks count="1" manualBreakCount="1">
    <brk id="4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view="pageBreakPreview" zoomScale="70" zoomScaleNormal="60" zoomScaleSheetLayoutView="70" workbookViewId="0">
      <pane xSplit="12" ySplit="6" topLeftCell="M7" activePane="bottomRight" state="frozen"/>
      <selection pane="topRight" activeCell="M1" sqref="M1"/>
      <selection pane="bottomLeft" activeCell="A7" sqref="A7"/>
      <selection pane="bottomRight" activeCell="I10" sqref="I10"/>
    </sheetView>
  </sheetViews>
  <sheetFormatPr defaultRowHeight="12.75"/>
  <cols>
    <col min="1" max="1" width="5.5703125" customWidth="1"/>
    <col min="2" max="2" width="25.5703125" customWidth="1"/>
    <col min="3" max="3" width="8.140625" customWidth="1"/>
    <col min="4" max="4" width="7.28515625" customWidth="1"/>
    <col min="5" max="5" width="8" customWidth="1"/>
    <col min="6" max="6" width="7.85546875" customWidth="1"/>
    <col min="7" max="12" width="13.7109375" customWidth="1"/>
    <col min="13" max="13" width="12.28515625" customWidth="1"/>
  </cols>
  <sheetData>
    <row r="1" spans="1:12" ht="16.5">
      <c r="A1" s="298" t="s">
        <v>225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 ht="23.25">
      <c r="A2" s="301" t="s">
        <v>226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1:12" ht="15.75" thickBot="1">
      <c r="A3" s="316" t="s">
        <v>208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8"/>
    </row>
    <row r="4" spans="1:12" ht="20.25" customHeight="1" thickBot="1">
      <c r="A4" s="319" t="s">
        <v>227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1"/>
    </row>
    <row r="5" spans="1:12" ht="19.5" customHeight="1">
      <c r="A5" s="322" t="s">
        <v>69</v>
      </c>
      <c r="B5" s="324" t="s">
        <v>3</v>
      </c>
      <c r="C5" s="326" t="s">
        <v>2</v>
      </c>
      <c r="D5" s="328" t="s">
        <v>211</v>
      </c>
      <c r="E5" s="329"/>
      <c r="F5" s="330"/>
      <c r="G5" s="331" t="s">
        <v>212</v>
      </c>
      <c r="H5" s="331" t="s">
        <v>228</v>
      </c>
      <c r="I5" s="331" t="s">
        <v>214</v>
      </c>
      <c r="J5" s="331" t="s">
        <v>215</v>
      </c>
      <c r="K5" s="331" t="s">
        <v>229</v>
      </c>
      <c r="L5" s="333" t="s">
        <v>1</v>
      </c>
    </row>
    <row r="6" spans="1:12" ht="20.25" customHeight="1">
      <c r="A6" s="323"/>
      <c r="B6" s="325"/>
      <c r="C6" s="327"/>
      <c r="D6" s="209" t="s">
        <v>35</v>
      </c>
      <c r="E6" s="209" t="s">
        <v>9</v>
      </c>
      <c r="F6" s="209" t="s">
        <v>1</v>
      </c>
      <c r="G6" s="332"/>
      <c r="H6" s="332"/>
      <c r="I6" s="332"/>
      <c r="J6" s="332"/>
      <c r="K6" s="332"/>
      <c r="L6" s="334"/>
    </row>
    <row r="7" spans="1:12" s="16" customFormat="1" ht="30" customHeight="1">
      <c r="A7" s="210">
        <v>1</v>
      </c>
      <c r="B7" s="161" t="s">
        <v>204</v>
      </c>
      <c r="C7" s="163" t="s">
        <v>45</v>
      </c>
      <c r="D7" s="164">
        <v>1</v>
      </c>
      <c r="E7" s="45">
        <v>0</v>
      </c>
      <c r="F7" s="45">
        <f t="shared" ref="F7:F13" si="0">SUM(D7:E7)</f>
        <v>1</v>
      </c>
      <c r="G7" s="215">
        <v>540000</v>
      </c>
      <c r="H7" s="216">
        <f>G7*12.5%</f>
        <v>67500</v>
      </c>
      <c r="I7" s="216">
        <v>0</v>
      </c>
      <c r="J7" s="215">
        <f>G7*40%</f>
        <v>216000</v>
      </c>
      <c r="K7" s="215"/>
      <c r="L7" s="216"/>
    </row>
    <row r="8" spans="1:12" s="16" customFormat="1" ht="30" customHeight="1">
      <c r="A8" s="210">
        <v>2</v>
      </c>
      <c r="B8" s="161" t="s">
        <v>129</v>
      </c>
      <c r="C8" s="163" t="s">
        <v>45</v>
      </c>
      <c r="D8" s="164">
        <v>1</v>
      </c>
      <c r="E8" s="45">
        <v>0</v>
      </c>
      <c r="F8" s="45">
        <f t="shared" si="0"/>
        <v>1</v>
      </c>
      <c r="G8" s="215">
        <v>360000</v>
      </c>
      <c r="H8" s="216">
        <f t="shared" ref="H8:H55" si="1">G8*12.5%</f>
        <v>45000</v>
      </c>
      <c r="I8" s="216">
        <v>0</v>
      </c>
      <c r="J8" s="215">
        <f t="shared" ref="J8:J55" si="2">G8*40%</f>
        <v>144000</v>
      </c>
      <c r="K8" s="215"/>
      <c r="L8" s="216"/>
    </row>
    <row r="9" spans="1:12" s="16" customFormat="1" ht="30" customHeight="1">
      <c r="A9" s="210">
        <v>3</v>
      </c>
      <c r="B9" s="161" t="s">
        <v>130</v>
      </c>
      <c r="C9" s="163">
        <v>17</v>
      </c>
      <c r="D9" s="164">
        <v>0</v>
      </c>
      <c r="E9" s="217">
        <v>1</v>
      </c>
      <c r="F9" s="217">
        <f t="shared" si="0"/>
        <v>1</v>
      </c>
      <c r="G9" s="215">
        <v>667900</v>
      </c>
      <c r="H9" s="216">
        <f t="shared" si="1"/>
        <v>83487.5</v>
      </c>
      <c r="I9" s="216">
        <f>'[1]BDO-4'!$P$21</f>
        <v>491544</v>
      </c>
      <c r="J9" s="215">
        <f t="shared" si="2"/>
        <v>267160</v>
      </c>
      <c r="K9" s="215"/>
      <c r="L9" s="216"/>
    </row>
    <row r="10" spans="1:12" s="16" customFormat="1" ht="30" customHeight="1">
      <c r="A10" s="210">
        <v>4</v>
      </c>
      <c r="B10" s="161" t="s">
        <v>186</v>
      </c>
      <c r="C10" s="163">
        <v>17</v>
      </c>
      <c r="D10" s="164">
        <v>0</v>
      </c>
      <c r="E10" s="217">
        <v>1</v>
      </c>
      <c r="F10" s="217">
        <f t="shared" si="0"/>
        <v>1</v>
      </c>
      <c r="G10" s="215">
        <v>646860</v>
      </c>
      <c r="H10" s="216">
        <f t="shared" si="1"/>
        <v>80857.5</v>
      </c>
      <c r="I10" s="216">
        <f>'[1]BDO-4'!$P$48</f>
        <v>645528</v>
      </c>
      <c r="J10" s="215">
        <f t="shared" si="2"/>
        <v>258744</v>
      </c>
      <c r="K10" s="215"/>
      <c r="L10" s="216"/>
    </row>
    <row r="11" spans="1:12" s="16" customFormat="1" ht="30" customHeight="1">
      <c r="A11" s="210">
        <v>5</v>
      </c>
      <c r="B11" s="161" t="s">
        <v>202</v>
      </c>
      <c r="C11" s="163">
        <v>17</v>
      </c>
      <c r="D11" s="164">
        <v>1</v>
      </c>
      <c r="E11" s="45">
        <v>0</v>
      </c>
      <c r="F11" s="45">
        <f t="shared" si="0"/>
        <v>1</v>
      </c>
      <c r="G11" s="215">
        <v>1262460</v>
      </c>
      <c r="H11" s="216">
        <f t="shared" si="1"/>
        <v>157807.5</v>
      </c>
      <c r="I11" s="216">
        <f>'[1]BDO-4'!$O$68</f>
        <v>846516</v>
      </c>
      <c r="J11" s="215">
        <f t="shared" si="2"/>
        <v>504984</v>
      </c>
      <c r="K11" s="215"/>
      <c r="L11" s="216"/>
    </row>
    <row r="12" spans="1:12" s="16" customFormat="1" ht="30" customHeight="1">
      <c r="A12" s="210">
        <v>6</v>
      </c>
      <c r="B12" s="161" t="s">
        <v>188</v>
      </c>
      <c r="C12" s="163">
        <v>17</v>
      </c>
      <c r="D12" s="164">
        <v>1</v>
      </c>
      <c r="E12" s="45">
        <v>0</v>
      </c>
      <c r="F12" s="45">
        <f t="shared" si="0"/>
        <v>1</v>
      </c>
      <c r="G12" s="215">
        <v>404410</v>
      </c>
      <c r="H12" s="216">
        <f t="shared" si="1"/>
        <v>50551.25</v>
      </c>
      <c r="I12" s="216">
        <f>'[1]BDO-4'!$O$75</f>
        <v>470952</v>
      </c>
      <c r="J12" s="215">
        <f t="shared" si="2"/>
        <v>161764</v>
      </c>
      <c r="K12" s="215"/>
      <c r="L12" s="216"/>
    </row>
    <row r="13" spans="1:12" s="16" customFormat="1" ht="30" customHeight="1">
      <c r="A13" s="210">
        <v>7</v>
      </c>
      <c r="B13" s="161" t="s">
        <v>194</v>
      </c>
      <c r="C13" s="163">
        <v>17</v>
      </c>
      <c r="D13" s="164">
        <v>1</v>
      </c>
      <c r="E13" s="217">
        <v>0</v>
      </c>
      <c r="F13" s="217">
        <f t="shared" si="0"/>
        <v>1</v>
      </c>
      <c r="G13" s="215">
        <v>646860</v>
      </c>
      <c r="H13" s="216">
        <f t="shared" si="1"/>
        <v>80857.5</v>
      </c>
      <c r="I13" s="216">
        <f>'[1]BDO-4'!$O$100</f>
        <v>1035840</v>
      </c>
      <c r="J13" s="215">
        <f t="shared" si="2"/>
        <v>258744</v>
      </c>
      <c r="K13" s="215"/>
      <c r="L13" s="216"/>
    </row>
    <row r="14" spans="1:12" s="16" customFormat="1" ht="30" customHeight="1">
      <c r="A14" s="210">
        <v>8</v>
      </c>
      <c r="B14" s="161" t="s">
        <v>18</v>
      </c>
      <c r="C14" s="163">
        <v>17</v>
      </c>
      <c r="D14" s="164">
        <v>1</v>
      </c>
      <c r="E14" s="217">
        <v>0</v>
      </c>
      <c r="F14" s="217">
        <v>1</v>
      </c>
      <c r="G14" s="215">
        <v>564780</v>
      </c>
      <c r="H14" s="216">
        <f t="shared" si="1"/>
        <v>70597.5</v>
      </c>
      <c r="I14" s="216">
        <f>'[1]BDO-4'!$O$22</f>
        <v>550968</v>
      </c>
      <c r="J14" s="215">
        <f t="shared" si="2"/>
        <v>225912</v>
      </c>
      <c r="K14" s="215"/>
      <c r="L14" s="216"/>
    </row>
    <row r="15" spans="1:12" s="16" customFormat="1" ht="30" customHeight="1">
      <c r="A15" s="210">
        <v>9</v>
      </c>
      <c r="B15" s="162" t="s">
        <v>95</v>
      </c>
      <c r="C15" s="164" t="s">
        <v>181</v>
      </c>
      <c r="D15" s="164">
        <v>3</v>
      </c>
      <c r="E15" s="217">
        <v>0</v>
      </c>
      <c r="F15" s="217">
        <f>SUM(D15:E15)</f>
        <v>3</v>
      </c>
      <c r="G15" s="215">
        <v>1329180</v>
      </c>
      <c r="H15" s="216">
        <f t="shared" si="1"/>
        <v>166147.5</v>
      </c>
      <c r="I15" s="216">
        <f>'[1]BDO-4'!$O$23+'[1]BDO-4'!$O$49+'[1]BDO-4'!$O$101</f>
        <v>1210868</v>
      </c>
      <c r="J15" s="215">
        <f t="shared" si="2"/>
        <v>531672</v>
      </c>
      <c r="K15" s="215"/>
      <c r="L15" s="216"/>
    </row>
    <row r="16" spans="1:12" s="16" customFormat="1" ht="30" customHeight="1">
      <c r="A16" s="210">
        <v>10</v>
      </c>
      <c r="B16" s="162" t="s">
        <v>195</v>
      </c>
      <c r="C16" s="164">
        <v>16</v>
      </c>
      <c r="D16" s="164">
        <v>2</v>
      </c>
      <c r="E16" s="217">
        <v>0</v>
      </c>
      <c r="F16" s="217">
        <f>SUM(D16:E16)</f>
        <v>2</v>
      </c>
      <c r="G16" s="215">
        <v>705320</v>
      </c>
      <c r="H16" s="216">
        <f t="shared" si="1"/>
        <v>88165</v>
      </c>
      <c r="I16" s="216">
        <f>'[1]BDO-4'!$O$102+'[1]BDO-4'!$O$103</f>
        <v>739128</v>
      </c>
      <c r="J16" s="215">
        <f t="shared" si="2"/>
        <v>282128</v>
      </c>
      <c r="K16" s="215"/>
      <c r="L16" s="216"/>
    </row>
    <row r="17" spans="1:12" s="16" customFormat="1" ht="30" customHeight="1">
      <c r="A17" s="210">
        <v>11</v>
      </c>
      <c r="B17" s="162" t="s">
        <v>136</v>
      </c>
      <c r="C17" s="164">
        <v>15</v>
      </c>
      <c r="D17" s="164">
        <v>1</v>
      </c>
      <c r="E17" s="217">
        <v>0</v>
      </c>
      <c r="F17" s="217">
        <v>1</v>
      </c>
      <c r="G17" s="215">
        <v>300900</v>
      </c>
      <c r="H17" s="216">
        <f t="shared" si="1"/>
        <v>37612.5</v>
      </c>
      <c r="I17" s="216">
        <f>'[1]BDO-4'!$O$50</f>
        <v>305836</v>
      </c>
      <c r="J17" s="215">
        <f t="shared" si="2"/>
        <v>120360</v>
      </c>
      <c r="K17" s="215"/>
      <c r="L17" s="216"/>
    </row>
    <row r="18" spans="1:12" s="16" customFormat="1" ht="30" customHeight="1">
      <c r="A18" s="210">
        <v>12</v>
      </c>
      <c r="B18" s="162" t="s">
        <v>189</v>
      </c>
      <c r="C18" s="164">
        <v>15</v>
      </c>
      <c r="D18" s="165">
        <v>2</v>
      </c>
      <c r="E18" s="45">
        <v>0</v>
      </c>
      <c r="F18" s="45">
        <f>SUM(D18:E18)</f>
        <v>2</v>
      </c>
      <c r="G18" s="215">
        <v>1575960</v>
      </c>
      <c r="H18" s="216">
        <f t="shared" si="1"/>
        <v>196995</v>
      </c>
      <c r="I18" s="216">
        <f>'[1]BDO-4'!$O$76+'[1]BDO-4'!$O$105</f>
        <v>1024920</v>
      </c>
      <c r="J18" s="215">
        <f t="shared" si="2"/>
        <v>630384</v>
      </c>
      <c r="K18" s="215"/>
      <c r="L18" s="216"/>
    </row>
    <row r="19" spans="1:12" s="16" customFormat="1" ht="30" customHeight="1">
      <c r="A19" s="210">
        <v>13</v>
      </c>
      <c r="B19" s="162" t="s">
        <v>238</v>
      </c>
      <c r="C19" s="164">
        <v>15</v>
      </c>
      <c r="D19" s="164">
        <v>1</v>
      </c>
      <c r="E19" s="217">
        <v>0</v>
      </c>
      <c r="F19" s="217">
        <f>SUM(D19:E19)</f>
        <v>1</v>
      </c>
      <c r="G19" s="215">
        <v>847380</v>
      </c>
      <c r="H19" s="216">
        <f t="shared" si="1"/>
        <v>105922.5</v>
      </c>
      <c r="I19" s="216">
        <f>'[1]BDO-4'!$O$106</f>
        <v>542244</v>
      </c>
      <c r="J19" s="215">
        <f t="shared" si="2"/>
        <v>338952</v>
      </c>
      <c r="K19" s="215"/>
      <c r="L19" s="216"/>
    </row>
    <row r="20" spans="1:12" s="16" customFormat="1" ht="30" customHeight="1">
      <c r="A20" s="210">
        <v>14</v>
      </c>
      <c r="B20" s="162" t="s">
        <v>16</v>
      </c>
      <c r="C20" s="164">
        <v>14</v>
      </c>
      <c r="D20" s="164">
        <v>4</v>
      </c>
      <c r="E20" s="217">
        <v>0</v>
      </c>
      <c r="F20" s="217">
        <f>SUM(D20:E20)</f>
        <v>4</v>
      </c>
      <c r="G20" s="215">
        <v>1986240</v>
      </c>
      <c r="H20" s="216">
        <f t="shared" si="1"/>
        <v>248280</v>
      </c>
      <c r="I20" s="216">
        <v>1709268</v>
      </c>
      <c r="J20" s="215">
        <f t="shared" si="2"/>
        <v>794496</v>
      </c>
      <c r="K20" s="215"/>
      <c r="L20" s="216"/>
    </row>
    <row r="21" spans="1:12" s="16" customFormat="1" ht="30" customHeight="1">
      <c r="A21" s="210">
        <v>15</v>
      </c>
      <c r="B21" s="162" t="s">
        <v>185</v>
      </c>
      <c r="C21" s="166">
        <v>14</v>
      </c>
      <c r="D21" s="166">
        <v>4</v>
      </c>
      <c r="E21" s="217">
        <v>0</v>
      </c>
      <c r="F21" s="217">
        <v>4</v>
      </c>
      <c r="G21" s="215">
        <v>2943710</v>
      </c>
      <c r="H21" s="216">
        <f t="shared" si="1"/>
        <v>367963.75</v>
      </c>
      <c r="I21" s="216">
        <v>1935120</v>
      </c>
      <c r="J21" s="215">
        <f t="shared" si="2"/>
        <v>1177484</v>
      </c>
      <c r="K21" s="215"/>
      <c r="L21" s="216"/>
    </row>
    <row r="22" spans="1:12" s="16" customFormat="1" ht="30" customHeight="1">
      <c r="A22" s="210">
        <v>16</v>
      </c>
      <c r="B22" s="162" t="s">
        <v>22</v>
      </c>
      <c r="C22" s="164">
        <v>14</v>
      </c>
      <c r="D22" s="164">
        <v>1</v>
      </c>
      <c r="E22" s="217">
        <v>0</v>
      </c>
      <c r="F22" s="217">
        <v>1</v>
      </c>
      <c r="G22" s="215">
        <v>282540</v>
      </c>
      <c r="H22" s="216">
        <f t="shared" si="1"/>
        <v>35317.5</v>
      </c>
      <c r="I22" s="216">
        <v>286608</v>
      </c>
      <c r="J22" s="215">
        <f t="shared" si="2"/>
        <v>113016</v>
      </c>
      <c r="K22" s="215"/>
      <c r="L22" s="216"/>
    </row>
    <row r="23" spans="1:12" s="16" customFormat="1" ht="30" customHeight="1">
      <c r="A23" s="210">
        <v>17</v>
      </c>
      <c r="B23" s="162" t="s">
        <v>139</v>
      </c>
      <c r="C23" s="164" t="s">
        <v>187</v>
      </c>
      <c r="D23" s="164">
        <v>1</v>
      </c>
      <c r="E23" s="217">
        <v>0</v>
      </c>
      <c r="F23" s="217">
        <f>SUM(D23:E23)</f>
        <v>1</v>
      </c>
      <c r="G23" s="215">
        <v>366060</v>
      </c>
      <c r="H23" s="216">
        <f t="shared" si="1"/>
        <v>45757.5</v>
      </c>
      <c r="I23" s="216">
        <v>382080</v>
      </c>
      <c r="J23" s="215">
        <f t="shared" si="2"/>
        <v>146424</v>
      </c>
      <c r="K23" s="215"/>
      <c r="L23" s="216"/>
    </row>
    <row r="24" spans="1:12" s="16" customFormat="1" ht="30" customHeight="1">
      <c r="A24" s="210">
        <v>18</v>
      </c>
      <c r="B24" s="162" t="s">
        <v>137</v>
      </c>
      <c r="C24" s="164" t="s">
        <v>187</v>
      </c>
      <c r="D24" s="164">
        <v>1</v>
      </c>
      <c r="E24" s="217">
        <v>0</v>
      </c>
      <c r="F24" s="217">
        <f>SUM(D24:E24)</f>
        <v>1</v>
      </c>
      <c r="G24" s="215">
        <v>491340</v>
      </c>
      <c r="H24" s="216">
        <f t="shared" si="1"/>
        <v>61417.5</v>
      </c>
      <c r="I24" s="216">
        <v>363990</v>
      </c>
      <c r="J24" s="215">
        <f t="shared" si="2"/>
        <v>196536</v>
      </c>
      <c r="K24" s="215"/>
      <c r="L24" s="216"/>
    </row>
    <row r="25" spans="1:12" s="16" customFormat="1" ht="30" customHeight="1">
      <c r="A25" s="210">
        <v>19</v>
      </c>
      <c r="B25" s="162" t="s">
        <v>100</v>
      </c>
      <c r="C25" s="164" t="s">
        <v>187</v>
      </c>
      <c r="D25" s="166">
        <v>1</v>
      </c>
      <c r="E25" s="217">
        <v>0</v>
      </c>
      <c r="F25" s="217">
        <f>SUM(D25:E25)</f>
        <v>1</v>
      </c>
      <c r="G25" s="215">
        <v>491340</v>
      </c>
      <c r="H25" s="216">
        <f t="shared" si="1"/>
        <v>61417.5</v>
      </c>
      <c r="I25" s="216">
        <v>363996</v>
      </c>
      <c r="J25" s="215">
        <f t="shared" si="2"/>
        <v>196536</v>
      </c>
      <c r="K25" s="215"/>
      <c r="L25" s="216"/>
    </row>
    <row r="26" spans="1:12" s="16" customFormat="1" ht="30" customHeight="1">
      <c r="A26" s="210">
        <v>20</v>
      </c>
      <c r="B26" s="162" t="s">
        <v>26</v>
      </c>
      <c r="C26" s="164">
        <v>14</v>
      </c>
      <c r="D26" s="166">
        <v>1</v>
      </c>
      <c r="E26" s="218">
        <v>0</v>
      </c>
      <c r="F26" s="45">
        <v>1</v>
      </c>
      <c r="G26" s="215">
        <v>470460</v>
      </c>
      <c r="H26" s="216">
        <f t="shared" si="1"/>
        <v>58807.5</v>
      </c>
      <c r="I26" s="216">
        <v>356808</v>
      </c>
      <c r="J26" s="215">
        <f t="shared" si="2"/>
        <v>188184</v>
      </c>
      <c r="K26" s="215"/>
      <c r="L26" s="216"/>
    </row>
    <row r="27" spans="1:12" s="16" customFormat="1" ht="30" customHeight="1">
      <c r="A27" s="210">
        <v>21</v>
      </c>
      <c r="B27" s="162" t="s">
        <v>151</v>
      </c>
      <c r="C27" s="164">
        <v>14</v>
      </c>
      <c r="D27" s="164">
        <v>1</v>
      </c>
      <c r="E27" s="217">
        <v>0</v>
      </c>
      <c r="F27" s="217">
        <v>1</v>
      </c>
      <c r="G27" s="215">
        <v>282540</v>
      </c>
      <c r="H27" s="216">
        <f t="shared" si="1"/>
        <v>35317.5</v>
      </c>
      <c r="I27" s="216">
        <v>286608</v>
      </c>
      <c r="J27" s="215">
        <f t="shared" si="2"/>
        <v>113016</v>
      </c>
      <c r="K27" s="215"/>
      <c r="L27" s="216"/>
    </row>
    <row r="28" spans="1:12" s="16" customFormat="1" ht="30" customHeight="1">
      <c r="A28" s="210">
        <v>22</v>
      </c>
      <c r="B28" s="162" t="s">
        <v>102</v>
      </c>
      <c r="C28" s="164" t="s">
        <v>187</v>
      </c>
      <c r="D28" s="164">
        <v>1</v>
      </c>
      <c r="E28" s="217">
        <v>0</v>
      </c>
      <c r="F28" s="217">
        <f t="shared" ref="F28:F34" si="3">SUM(D28:E28)</f>
        <v>1</v>
      </c>
      <c r="G28" s="215">
        <v>700140</v>
      </c>
      <c r="H28" s="216">
        <f t="shared" si="1"/>
        <v>87517.5</v>
      </c>
      <c r="I28" s="216">
        <v>465456</v>
      </c>
      <c r="J28" s="215">
        <f t="shared" si="2"/>
        <v>280056</v>
      </c>
      <c r="K28" s="215"/>
      <c r="L28" s="216"/>
    </row>
    <row r="29" spans="1:12" s="16" customFormat="1" ht="30" customHeight="1">
      <c r="A29" s="210">
        <v>23</v>
      </c>
      <c r="B29" s="162" t="s">
        <v>196</v>
      </c>
      <c r="C29" s="164">
        <v>14</v>
      </c>
      <c r="D29" s="164">
        <v>3</v>
      </c>
      <c r="E29" s="217">
        <v>0</v>
      </c>
      <c r="F29" s="217">
        <f t="shared" si="3"/>
        <v>3</v>
      </c>
      <c r="G29" s="215">
        <v>1160820</v>
      </c>
      <c r="H29" s="216">
        <f t="shared" si="1"/>
        <v>145102.5</v>
      </c>
      <c r="I29" s="216">
        <v>969024</v>
      </c>
      <c r="J29" s="215">
        <f t="shared" si="2"/>
        <v>464328</v>
      </c>
      <c r="K29" s="215"/>
      <c r="L29" s="216"/>
    </row>
    <row r="30" spans="1:12" s="16" customFormat="1" ht="30" customHeight="1">
      <c r="A30" s="210">
        <v>24</v>
      </c>
      <c r="B30" s="162" t="s">
        <v>25</v>
      </c>
      <c r="C30" s="164">
        <v>14</v>
      </c>
      <c r="D30" s="166">
        <v>1</v>
      </c>
      <c r="E30" s="218">
        <v>0</v>
      </c>
      <c r="F30" s="45">
        <f>SUM(D30:E30)</f>
        <v>1</v>
      </c>
      <c r="G30" s="215">
        <v>282540</v>
      </c>
      <c r="H30" s="216">
        <f>G30*12.5%</f>
        <v>35317.5</v>
      </c>
      <c r="I30" s="216">
        <v>260460</v>
      </c>
      <c r="J30" s="215">
        <f>G30*40%</f>
        <v>113016</v>
      </c>
      <c r="K30" s="215"/>
      <c r="L30" s="216"/>
    </row>
    <row r="31" spans="1:12" s="16" customFormat="1" ht="30" customHeight="1">
      <c r="A31" s="210">
        <v>25</v>
      </c>
      <c r="B31" s="162" t="s">
        <v>10</v>
      </c>
      <c r="C31" s="165">
        <v>13</v>
      </c>
      <c r="D31" s="165">
        <v>1</v>
      </c>
      <c r="E31" s="217">
        <v>0</v>
      </c>
      <c r="F31" s="217">
        <f t="shared" si="3"/>
        <v>1</v>
      </c>
      <c r="G31" s="215">
        <v>470760</v>
      </c>
      <c r="H31" s="216">
        <f t="shared" si="1"/>
        <v>58845</v>
      </c>
      <c r="I31" s="216">
        <v>429060</v>
      </c>
      <c r="J31" s="215">
        <f t="shared" si="2"/>
        <v>188304</v>
      </c>
      <c r="K31" s="215"/>
      <c r="L31" s="216"/>
    </row>
    <row r="32" spans="1:12" s="16" customFormat="1" ht="30" customHeight="1">
      <c r="A32" s="210">
        <v>26</v>
      </c>
      <c r="B32" s="162" t="s">
        <v>27</v>
      </c>
      <c r="C32" s="164">
        <v>13</v>
      </c>
      <c r="D32" s="164">
        <v>1</v>
      </c>
      <c r="E32" s="217">
        <v>0</v>
      </c>
      <c r="F32" s="217">
        <f t="shared" si="3"/>
        <v>1</v>
      </c>
      <c r="G32" s="215">
        <v>282560</v>
      </c>
      <c r="H32" s="216">
        <f t="shared" si="1"/>
        <v>35320</v>
      </c>
      <c r="I32" s="216">
        <v>277856</v>
      </c>
      <c r="J32" s="215">
        <f t="shared" si="2"/>
        <v>113024</v>
      </c>
      <c r="K32" s="215"/>
      <c r="L32" s="216"/>
    </row>
    <row r="33" spans="1:12" s="16" customFormat="1" ht="30" customHeight="1">
      <c r="A33" s="210">
        <v>27</v>
      </c>
      <c r="B33" s="162" t="s">
        <v>99</v>
      </c>
      <c r="C33" s="165">
        <v>13</v>
      </c>
      <c r="D33" s="166">
        <v>1</v>
      </c>
      <c r="E33" s="217">
        <v>0</v>
      </c>
      <c r="F33" s="217">
        <f t="shared" si="3"/>
        <v>1</v>
      </c>
      <c r="G33" s="215">
        <v>489480</v>
      </c>
      <c r="H33" s="216">
        <f t="shared" si="1"/>
        <v>61185</v>
      </c>
      <c r="I33" s="216">
        <v>357144</v>
      </c>
      <c r="J33" s="215">
        <f t="shared" si="2"/>
        <v>195792</v>
      </c>
      <c r="K33" s="215"/>
      <c r="L33" s="216"/>
    </row>
    <row r="34" spans="1:12" s="16" customFormat="1" ht="30" customHeight="1">
      <c r="A34" s="210">
        <v>28</v>
      </c>
      <c r="B34" s="162" t="s">
        <v>99</v>
      </c>
      <c r="C34" s="165">
        <v>12</v>
      </c>
      <c r="D34" s="165">
        <v>2</v>
      </c>
      <c r="E34" s="45">
        <v>0</v>
      </c>
      <c r="F34" s="45">
        <f t="shared" si="3"/>
        <v>2</v>
      </c>
      <c r="G34" s="215">
        <v>940660</v>
      </c>
      <c r="H34" s="216">
        <f t="shared" si="1"/>
        <v>117582.5</v>
      </c>
      <c r="I34" s="216">
        <v>693984</v>
      </c>
      <c r="J34" s="215">
        <f t="shared" si="2"/>
        <v>376264</v>
      </c>
      <c r="K34" s="215"/>
      <c r="L34" s="216"/>
    </row>
    <row r="35" spans="1:12" s="16" customFormat="1" ht="30" customHeight="1">
      <c r="A35" s="210">
        <v>29</v>
      </c>
      <c r="B35" s="162" t="s">
        <v>203</v>
      </c>
      <c r="C35" s="165">
        <v>12</v>
      </c>
      <c r="D35" s="165">
        <v>1</v>
      </c>
      <c r="E35" s="45">
        <v>0</v>
      </c>
      <c r="F35" s="45">
        <v>1</v>
      </c>
      <c r="G35" s="215">
        <v>247250</v>
      </c>
      <c r="H35" s="216">
        <f t="shared" si="1"/>
        <v>30906.25</v>
      </c>
      <c r="I35" s="216">
        <v>258108</v>
      </c>
      <c r="J35" s="215">
        <f t="shared" si="2"/>
        <v>98900</v>
      </c>
      <c r="K35" s="215"/>
      <c r="L35" s="216"/>
    </row>
    <row r="36" spans="1:12" s="16" customFormat="1" ht="30" customHeight="1">
      <c r="A36" s="210">
        <v>30</v>
      </c>
      <c r="B36" s="162" t="s">
        <v>11</v>
      </c>
      <c r="C36" s="164" t="s">
        <v>180</v>
      </c>
      <c r="D36" s="164">
        <v>7</v>
      </c>
      <c r="E36" s="45">
        <v>0</v>
      </c>
      <c r="F36" s="45">
        <f>SUM(D36:E36)</f>
        <v>7</v>
      </c>
      <c r="G36" s="215">
        <v>2401070</v>
      </c>
      <c r="H36" s="216">
        <f t="shared" si="1"/>
        <v>300133.75</v>
      </c>
      <c r="I36" s="216">
        <v>2033136</v>
      </c>
      <c r="J36" s="215">
        <f t="shared" si="2"/>
        <v>960428</v>
      </c>
      <c r="K36" s="215"/>
      <c r="L36" s="216"/>
    </row>
    <row r="37" spans="1:12" s="16" customFormat="1" ht="30" customHeight="1">
      <c r="A37" s="210">
        <v>31</v>
      </c>
      <c r="B37" s="162" t="s">
        <v>185</v>
      </c>
      <c r="C37" s="165">
        <v>11</v>
      </c>
      <c r="D37" s="166">
        <v>5</v>
      </c>
      <c r="E37" s="217">
        <v>0</v>
      </c>
      <c r="F37" s="217">
        <v>5</v>
      </c>
      <c r="G37" s="215">
        <v>2626330</v>
      </c>
      <c r="H37" s="216">
        <f t="shared" si="1"/>
        <v>328291.25</v>
      </c>
      <c r="I37" s="216">
        <v>1906776</v>
      </c>
      <c r="J37" s="215">
        <f t="shared" si="2"/>
        <v>1050532</v>
      </c>
      <c r="K37" s="215"/>
      <c r="L37" s="216"/>
    </row>
    <row r="38" spans="1:12" s="16" customFormat="1" ht="30" customHeight="1">
      <c r="A38" s="210">
        <v>32</v>
      </c>
      <c r="B38" s="162" t="s">
        <v>138</v>
      </c>
      <c r="C38" s="166">
        <v>11</v>
      </c>
      <c r="D38" s="166">
        <v>1</v>
      </c>
      <c r="E38" s="217">
        <v>0</v>
      </c>
      <c r="F38" s="217">
        <v>1</v>
      </c>
      <c r="G38" s="215">
        <v>232970</v>
      </c>
      <c r="H38" s="216">
        <f t="shared" si="1"/>
        <v>29121.25</v>
      </c>
      <c r="I38" s="216">
        <v>281628</v>
      </c>
      <c r="J38" s="215">
        <f t="shared" si="2"/>
        <v>93188</v>
      </c>
      <c r="K38" s="215"/>
      <c r="L38" s="216"/>
    </row>
    <row r="39" spans="1:12" s="16" customFormat="1" ht="30" customHeight="1">
      <c r="A39" s="210">
        <v>33</v>
      </c>
      <c r="B39" s="162" t="s">
        <v>97</v>
      </c>
      <c r="C39" s="164" t="s">
        <v>180</v>
      </c>
      <c r="D39" s="166">
        <v>1</v>
      </c>
      <c r="E39" s="217">
        <v>0</v>
      </c>
      <c r="F39" s="217">
        <f>SUM(D39:E39)</f>
        <v>1</v>
      </c>
      <c r="G39" s="215">
        <v>390170</v>
      </c>
      <c r="H39" s="216">
        <f t="shared" si="1"/>
        <v>48771.25</v>
      </c>
      <c r="I39" s="216">
        <v>307116</v>
      </c>
      <c r="J39" s="215">
        <f t="shared" si="2"/>
        <v>156068</v>
      </c>
      <c r="K39" s="215"/>
      <c r="L39" s="216"/>
    </row>
    <row r="40" spans="1:12" s="16" customFormat="1" ht="30" customHeight="1">
      <c r="A40" s="210">
        <v>34</v>
      </c>
      <c r="B40" s="162" t="s">
        <v>190</v>
      </c>
      <c r="C40" s="164">
        <v>11</v>
      </c>
      <c r="D40" s="166">
        <v>0</v>
      </c>
      <c r="E40" s="217">
        <v>2</v>
      </c>
      <c r="F40" s="217">
        <v>2</v>
      </c>
      <c r="G40" s="215">
        <v>1126180</v>
      </c>
      <c r="H40" s="216">
        <f t="shared" si="1"/>
        <v>140772.5</v>
      </c>
      <c r="I40" s="216">
        <v>726072</v>
      </c>
      <c r="J40" s="215">
        <f t="shared" si="2"/>
        <v>450472</v>
      </c>
      <c r="K40" s="215"/>
      <c r="L40" s="216"/>
    </row>
    <row r="41" spans="1:12" s="16" customFormat="1" ht="30" customHeight="1">
      <c r="A41" s="210">
        <v>35</v>
      </c>
      <c r="B41" s="162" t="s">
        <v>140</v>
      </c>
      <c r="C41" s="164" t="s">
        <v>180</v>
      </c>
      <c r="D41" s="164">
        <v>2</v>
      </c>
      <c r="E41" s="219">
        <v>0</v>
      </c>
      <c r="F41" s="219">
        <f t="shared" ref="F41:F45" si="4">SUM(D41:E41)</f>
        <v>2</v>
      </c>
      <c r="G41" s="215">
        <v>465940</v>
      </c>
      <c r="H41" s="216">
        <f t="shared" si="1"/>
        <v>58242.5</v>
      </c>
      <c r="I41" s="216">
        <v>492986</v>
      </c>
      <c r="J41" s="215">
        <f t="shared" si="2"/>
        <v>186376</v>
      </c>
      <c r="K41" s="215"/>
      <c r="L41" s="216"/>
    </row>
    <row r="42" spans="1:12" s="16" customFormat="1" ht="30" customHeight="1">
      <c r="A42" s="210">
        <v>36</v>
      </c>
      <c r="B42" s="162" t="s">
        <v>231</v>
      </c>
      <c r="C42" s="164">
        <v>11</v>
      </c>
      <c r="D42" s="164">
        <v>1</v>
      </c>
      <c r="E42" s="219">
        <v>0</v>
      </c>
      <c r="F42" s="219">
        <f t="shared" si="4"/>
        <v>1</v>
      </c>
      <c r="G42" s="215">
        <v>610250</v>
      </c>
      <c r="H42" s="216">
        <f t="shared" si="1"/>
        <v>76281.25</v>
      </c>
      <c r="I42" s="216">
        <v>410652</v>
      </c>
      <c r="J42" s="215">
        <f t="shared" si="2"/>
        <v>244100</v>
      </c>
      <c r="K42" s="215"/>
      <c r="L42" s="216"/>
    </row>
    <row r="43" spans="1:12" s="16" customFormat="1" ht="30" customHeight="1">
      <c r="A43" s="210">
        <v>37</v>
      </c>
      <c r="B43" s="162" t="s">
        <v>232</v>
      </c>
      <c r="C43" s="167">
        <v>11</v>
      </c>
      <c r="D43" s="165">
        <v>2</v>
      </c>
      <c r="E43" s="45">
        <v>0</v>
      </c>
      <c r="F43" s="45">
        <f t="shared" si="4"/>
        <v>2</v>
      </c>
      <c r="G43" s="215">
        <v>465940</v>
      </c>
      <c r="H43" s="216">
        <f t="shared" si="1"/>
        <v>58242.5</v>
      </c>
      <c r="I43" s="216">
        <v>449208</v>
      </c>
      <c r="J43" s="215">
        <f t="shared" si="2"/>
        <v>186376</v>
      </c>
      <c r="K43" s="215"/>
      <c r="L43" s="216"/>
    </row>
    <row r="44" spans="1:12" s="16" customFormat="1" ht="30" customHeight="1">
      <c r="A44" s="210">
        <v>38</v>
      </c>
      <c r="B44" s="162" t="s">
        <v>234</v>
      </c>
      <c r="C44" s="165">
        <v>11</v>
      </c>
      <c r="D44" s="164">
        <v>1</v>
      </c>
      <c r="E44" s="45">
        <v>0</v>
      </c>
      <c r="F44" s="45">
        <f t="shared" si="4"/>
        <v>1</v>
      </c>
      <c r="G44" s="215">
        <v>390170</v>
      </c>
      <c r="H44" s="216">
        <f t="shared" si="1"/>
        <v>48771.25</v>
      </c>
      <c r="I44" s="216">
        <v>307116</v>
      </c>
      <c r="J44" s="215">
        <f t="shared" si="2"/>
        <v>156068</v>
      </c>
      <c r="K44" s="215"/>
      <c r="L44" s="216"/>
    </row>
    <row r="45" spans="1:12" s="16" customFormat="1" ht="30" customHeight="1">
      <c r="A45" s="210">
        <v>39</v>
      </c>
      <c r="B45" s="162" t="s">
        <v>233</v>
      </c>
      <c r="C45" s="165">
        <v>11</v>
      </c>
      <c r="D45" s="164">
        <v>1</v>
      </c>
      <c r="E45" s="45">
        <v>0</v>
      </c>
      <c r="F45" s="45">
        <f t="shared" si="4"/>
        <v>1</v>
      </c>
      <c r="G45" s="215">
        <v>390170</v>
      </c>
      <c r="H45" s="216">
        <f t="shared" si="1"/>
        <v>48771.25</v>
      </c>
      <c r="I45" s="216">
        <v>307116</v>
      </c>
      <c r="J45" s="215">
        <f t="shared" si="2"/>
        <v>156068</v>
      </c>
      <c r="K45" s="215"/>
      <c r="L45" s="216"/>
    </row>
    <row r="46" spans="1:12" s="16" customFormat="1" ht="30" customHeight="1">
      <c r="A46" s="210">
        <v>40</v>
      </c>
      <c r="B46" s="162" t="s">
        <v>145</v>
      </c>
      <c r="C46" s="164">
        <v>11</v>
      </c>
      <c r="D46" s="164">
        <v>1</v>
      </c>
      <c r="E46" s="217">
        <v>0</v>
      </c>
      <c r="F46" s="217">
        <f>SUM(D46:E46)</f>
        <v>1</v>
      </c>
      <c r="G46" s="215">
        <v>311570</v>
      </c>
      <c r="H46" s="216">
        <f t="shared" si="1"/>
        <v>38946.25</v>
      </c>
      <c r="I46" s="216">
        <v>260856</v>
      </c>
      <c r="J46" s="215">
        <f t="shared" si="2"/>
        <v>124628</v>
      </c>
      <c r="K46" s="215"/>
      <c r="L46" s="216"/>
    </row>
    <row r="47" spans="1:12" s="16" customFormat="1" ht="30" customHeight="1">
      <c r="A47" s="210">
        <v>41</v>
      </c>
      <c r="B47" s="162" t="s">
        <v>152</v>
      </c>
      <c r="C47" s="165">
        <v>11</v>
      </c>
      <c r="D47" s="164">
        <v>1</v>
      </c>
      <c r="E47" s="217">
        <v>0</v>
      </c>
      <c r="F47" s="217">
        <v>1</v>
      </c>
      <c r="G47" s="215">
        <v>232970</v>
      </c>
      <c r="H47" s="216">
        <f t="shared" si="1"/>
        <v>29121.25</v>
      </c>
      <c r="I47" s="216">
        <v>246492</v>
      </c>
      <c r="J47" s="215">
        <f t="shared" si="2"/>
        <v>93188</v>
      </c>
      <c r="K47" s="215"/>
      <c r="L47" s="216"/>
    </row>
    <row r="48" spans="1:12" s="16" customFormat="1" ht="30" customHeight="1">
      <c r="A48" s="210">
        <v>42</v>
      </c>
      <c r="B48" s="162" t="s">
        <v>197</v>
      </c>
      <c r="C48" s="164">
        <v>9</v>
      </c>
      <c r="D48" s="164">
        <v>1</v>
      </c>
      <c r="E48" s="217">
        <v>0</v>
      </c>
      <c r="F48" s="217">
        <f t="shared" ref="F48:F57" si="5">SUM(D48:E48)</f>
        <v>1</v>
      </c>
      <c r="G48" s="215">
        <v>387310</v>
      </c>
      <c r="H48" s="216">
        <f t="shared" si="1"/>
        <v>48413.75</v>
      </c>
      <c r="I48" s="216">
        <v>293220</v>
      </c>
      <c r="J48" s="215">
        <f t="shared" si="2"/>
        <v>154924</v>
      </c>
      <c r="K48" s="215"/>
      <c r="L48" s="216"/>
    </row>
    <row r="49" spans="1:12" s="16" customFormat="1" ht="30" customHeight="1">
      <c r="A49" s="210">
        <v>43</v>
      </c>
      <c r="B49" s="162" t="s">
        <v>101</v>
      </c>
      <c r="C49" s="164" t="s">
        <v>201</v>
      </c>
      <c r="D49" s="164">
        <v>1</v>
      </c>
      <c r="E49" s="217">
        <v>0</v>
      </c>
      <c r="F49" s="217">
        <f t="shared" si="5"/>
        <v>1</v>
      </c>
      <c r="G49" s="215">
        <v>217270</v>
      </c>
      <c r="H49" s="216">
        <f t="shared" si="1"/>
        <v>27158.75</v>
      </c>
      <c r="I49" s="216">
        <v>222912</v>
      </c>
      <c r="J49" s="215">
        <f t="shared" si="2"/>
        <v>86908</v>
      </c>
      <c r="K49" s="215"/>
      <c r="L49" s="216"/>
    </row>
    <row r="50" spans="1:12" s="16" customFormat="1" ht="30" customHeight="1">
      <c r="A50" s="210">
        <v>44</v>
      </c>
      <c r="B50" s="162" t="s">
        <v>172</v>
      </c>
      <c r="C50" s="164">
        <v>8</v>
      </c>
      <c r="D50" s="164">
        <v>2</v>
      </c>
      <c r="E50" s="217">
        <v>0</v>
      </c>
      <c r="F50" s="217">
        <f t="shared" si="5"/>
        <v>2</v>
      </c>
      <c r="G50" s="215">
        <v>523690</v>
      </c>
      <c r="H50" s="216">
        <f t="shared" si="1"/>
        <v>65461.25</v>
      </c>
      <c r="I50" s="216">
        <v>463056</v>
      </c>
      <c r="J50" s="215">
        <f t="shared" si="2"/>
        <v>209476</v>
      </c>
      <c r="K50" s="215"/>
      <c r="L50" s="216"/>
    </row>
    <row r="51" spans="1:12" s="16" customFormat="1" ht="30" customHeight="1">
      <c r="A51" s="210">
        <v>45</v>
      </c>
      <c r="B51" s="169" t="s">
        <v>104</v>
      </c>
      <c r="C51" s="164">
        <v>7</v>
      </c>
      <c r="D51" s="164">
        <v>1</v>
      </c>
      <c r="E51" s="217">
        <v>0</v>
      </c>
      <c r="F51" s="217">
        <f t="shared" si="5"/>
        <v>1</v>
      </c>
      <c r="G51" s="215">
        <v>966610</v>
      </c>
      <c r="H51" s="216">
        <f t="shared" si="1"/>
        <v>120826.25</v>
      </c>
      <c r="I51" s="216">
        <v>658944</v>
      </c>
      <c r="J51" s="215">
        <f t="shared" si="2"/>
        <v>386644</v>
      </c>
      <c r="K51" s="215"/>
      <c r="L51" s="216"/>
    </row>
    <row r="52" spans="1:12" s="16" customFormat="1" ht="30" customHeight="1">
      <c r="A52" s="210">
        <v>46</v>
      </c>
      <c r="B52" s="169" t="s">
        <v>104</v>
      </c>
      <c r="C52" s="164">
        <v>7</v>
      </c>
      <c r="D52" s="164">
        <v>1</v>
      </c>
      <c r="E52" s="217">
        <v>0</v>
      </c>
      <c r="F52" s="217">
        <f t="shared" ref="F52" si="6">SUM(D52:E52)</f>
        <v>1</v>
      </c>
      <c r="G52" s="189">
        <v>436920</v>
      </c>
      <c r="H52" s="216">
        <f t="shared" si="1"/>
        <v>54615</v>
      </c>
      <c r="I52" s="189">
        <v>305484</v>
      </c>
      <c r="J52" s="215">
        <f t="shared" si="2"/>
        <v>174768</v>
      </c>
      <c r="K52" s="215"/>
      <c r="L52" s="216"/>
    </row>
    <row r="53" spans="1:12" s="16" customFormat="1" ht="30" customHeight="1">
      <c r="A53" s="210">
        <v>47</v>
      </c>
      <c r="B53" s="169" t="s">
        <v>163</v>
      </c>
      <c r="C53" s="165">
        <v>7</v>
      </c>
      <c r="D53" s="164">
        <v>3</v>
      </c>
      <c r="E53" s="217">
        <v>0</v>
      </c>
      <c r="F53" s="217">
        <f t="shared" si="5"/>
        <v>3</v>
      </c>
      <c r="G53" s="215">
        <v>1359750</v>
      </c>
      <c r="H53" s="216">
        <f t="shared" si="1"/>
        <v>169968.75</v>
      </c>
      <c r="I53" s="216">
        <v>945504</v>
      </c>
      <c r="J53" s="215">
        <f t="shared" si="2"/>
        <v>543900</v>
      </c>
      <c r="K53" s="215"/>
      <c r="L53" s="216"/>
    </row>
    <row r="54" spans="1:12" s="16" customFormat="1" ht="30" customHeight="1">
      <c r="A54" s="210">
        <v>48</v>
      </c>
      <c r="B54" s="162" t="s">
        <v>199</v>
      </c>
      <c r="C54" s="164">
        <v>6</v>
      </c>
      <c r="D54" s="164">
        <v>1</v>
      </c>
      <c r="E54" s="217">
        <v>0</v>
      </c>
      <c r="F54" s="217">
        <f t="shared" si="5"/>
        <v>1</v>
      </c>
      <c r="G54" s="215">
        <v>326040</v>
      </c>
      <c r="H54" s="216">
        <f t="shared" si="1"/>
        <v>40755</v>
      </c>
      <c r="I54" s="216">
        <v>255084</v>
      </c>
      <c r="J54" s="215">
        <f t="shared" si="2"/>
        <v>130416</v>
      </c>
      <c r="K54" s="215"/>
      <c r="L54" s="216"/>
    </row>
    <row r="55" spans="1:12" s="16" customFormat="1" ht="30" customHeight="1">
      <c r="A55" s="210">
        <v>49</v>
      </c>
      <c r="B55" s="169" t="s">
        <v>163</v>
      </c>
      <c r="C55" s="165">
        <v>6</v>
      </c>
      <c r="D55" s="164">
        <v>1</v>
      </c>
      <c r="E55" s="217">
        <v>0</v>
      </c>
      <c r="F55" s="217">
        <f t="shared" si="5"/>
        <v>1</v>
      </c>
      <c r="G55" s="216">
        <v>447000</v>
      </c>
      <c r="H55" s="216">
        <f t="shared" si="1"/>
        <v>55875</v>
      </c>
      <c r="I55" s="216">
        <v>311628</v>
      </c>
      <c r="J55" s="215">
        <f t="shared" si="2"/>
        <v>178800</v>
      </c>
      <c r="K55" s="216"/>
      <c r="L55" s="216"/>
    </row>
    <row r="56" spans="1:12" s="16" customFormat="1" ht="30" customHeight="1">
      <c r="A56" s="210">
        <v>50</v>
      </c>
      <c r="B56" s="162" t="s">
        <v>198</v>
      </c>
      <c r="C56" s="164">
        <v>6</v>
      </c>
      <c r="D56" s="164">
        <v>4</v>
      </c>
      <c r="E56" s="217">
        <v>0</v>
      </c>
      <c r="F56" s="217">
        <f t="shared" si="5"/>
        <v>4</v>
      </c>
      <c r="G56" s="220">
        <v>1253760</v>
      </c>
      <c r="H56" s="216">
        <f t="shared" ref="H56:H75" si="7">G56*12.5%</f>
        <v>156720</v>
      </c>
      <c r="I56" s="220">
        <v>1103952</v>
      </c>
      <c r="J56" s="215">
        <f t="shared" ref="J56:J75" si="8">G56*40%</f>
        <v>501504</v>
      </c>
      <c r="K56" s="216"/>
      <c r="L56" s="216"/>
    </row>
    <row r="57" spans="1:12" s="16" customFormat="1" ht="30" customHeight="1">
      <c r="A57" s="210">
        <v>51</v>
      </c>
      <c r="B57" s="162" t="s">
        <v>190</v>
      </c>
      <c r="C57" s="164">
        <v>6</v>
      </c>
      <c r="D57" s="164">
        <v>0</v>
      </c>
      <c r="E57" s="45">
        <v>1</v>
      </c>
      <c r="F57" s="45">
        <f t="shared" si="5"/>
        <v>1</v>
      </c>
      <c r="G57" s="220">
        <v>457080</v>
      </c>
      <c r="H57" s="216">
        <f t="shared" si="7"/>
        <v>57135</v>
      </c>
      <c r="I57" s="220">
        <v>317580</v>
      </c>
      <c r="J57" s="215">
        <f t="shared" si="8"/>
        <v>182832</v>
      </c>
      <c r="K57" s="221"/>
      <c r="L57" s="216"/>
    </row>
    <row r="58" spans="1:12" s="16" customFormat="1" ht="30" customHeight="1">
      <c r="A58" s="210">
        <v>52</v>
      </c>
      <c r="B58" s="162" t="s">
        <v>205</v>
      </c>
      <c r="C58" s="164">
        <v>5</v>
      </c>
      <c r="D58" s="164">
        <v>1</v>
      </c>
      <c r="E58" s="45">
        <v>0</v>
      </c>
      <c r="F58" s="45">
        <v>1</v>
      </c>
      <c r="G58" s="220">
        <v>197010</v>
      </c>
      <c r="H58" s="216">
        <f t="shared" si="7"/>
        <v>24626.25</v>
      </c>
      <c r="I58" s="220">
        <v>182700</v>
      </c>
      <c r="J58" s="215">
        <f t="shared" si="8"/>
        <v>78804</v>
      </c>
      <c r="K58" s="221"/>
      <c r="L58" s="216"/>
    </row>
    <row r="59" spans="1:12" s="16" customFormat="1" ht="30" customHeight="1">
      <c r="A59" s="210">
        <v>53</v>
      </c>
      <c r="B59" s="162" t="s">
        <v>128</v>
      </c>
      <c r="C59" s="164">
        <v>5</v>
      </c>
      <c r="D59" s="164">
        <v>1</v>
      </c>
      <c r="E59" s="45">
        <v>0</v>
      </c>
      <c r="F59" s="45">
        <v>1</v>
      </c>
      <c r="G59" s="220">
        <v>188010</v>
      </c>
      <c r="H59" s="216">
        <f t="shared" si="7"/>
        <v>23501.25</v>
      </c>
      <c r="I59" s="220">
        <v>180000</v>
      </c>
      <c r="J59" s="215">
        <f t="shared" si="8"/>
        <v>75204</v>
      </c>
      <c r="K59" s="221"/>
      <c r="L59" s="216"/>
    </row>
    <row r="60" spans="1:12" s="16" customFormat="1" ht="30" customHeight="1">
      <c r="A60" s="210">
        <v>54</v>
      </c>
      <c r="B60" s="162" t="s">
        <v>107</v>
      </c>
      <c r="C60" s="164" t="s">
        <v>182</v>
      </c>
      <c r="D60" s="164">
        <v>1</v>
      </c>
      <c r="E60" s="217">
        <v>0</v>
      </c>
      <c r="F60" s="217">
        <f t="shared" ref="F60:F67" si="9">SUM(D60:E60)</f>
        <v>1</v>
      </c>
      <c r="G60" s="220">
        <v>314010</v>
      </c>
      <c r="H60" s="216">
        <f t="shared" si="7"/>
        <v>39251.25</v>
      </c>
      <c r="I60" s="220">
        <v>253044</v>
      </c>
      <c r="J60" s="215">
        <f t="shared" si="8"/>
        <v>125604</v>
      </c>
      <c r="K60" s="221"/>
      <c r="L60" s="216"/>
    </row>
    <row r="61" spans="1:12" s="16" customFormat="1" ht="30" customHeight="1">
      <c r="A61" s="210">
        <v>55</v>
      </c>
      <c r="B61" s="162" t="s">
        <v>12</v>
      </c>
      <c r="C61" s="164">
        <v>5</v>
      </c>
      <c r="D61" s="164">
        <v>2</v>
      </c>
      <c r="E61" s="217">
        <v>0</v>
      </c>
      <c r="F61" s="217">
        <f t="shared" si="9"/>
        <v>2</v>
      </c>
      <c r="G61" s="220">
        <v>403020</v>
      </c>
      <c r="H61" s="216">
        <f t="shared" si="7"/>
        <v>50377.5</v>
      </c>
      <c r="I61" s="220">
        <v>484728</v>
      </c>
      <c r="J61" s="215">
        <f t="shared" si="8"/>
        <v>161208</v>
      </c>
      <c r="K61" s="216"/>
      <c r="L61" s="216"/>
    </row>
    <row r="62" spans="1:12" s="16" customFormat="1" ht="30" customHeight="1">
      <c r="A62" s="210">
        <v>56</v>
      </c>
      <c r="B62" s="162" t="s">
        <v>184</v>
      </c>
      <c r="C62" s="166">
        <v>5</v>
      </c>
      <c r="D62" s="164">
        <v>3</v>
      </c>
      <c r="E62" s="218">
        <v>0</v>
      </c>
      <c r="F62" s="45">
        <f t="shared" si="9"/>
        <v>3</v>
      </c>
      <c r="G62" s="216">
        <v>1293030</v>
      </c>
      <c r="H62" s="216">
        <f t="shared" si="7"/>
        <v>161628.75</v>
      </c>
      <c r="I62" s="216">
        <v>997992</v>
      </c>
      <c r="J62" s="215">
        <f t="shared" si="8"/>
        <v>517212</v>
      </c>
      <c r="K62" s="221"/>
      <c r="L62" s="216"/>
    </row>
    <row r="63" spans="1:12" s="16" customFormat="1" ht="30" customHeight="1">
      <c r="A63" s="210">
        <v>57</v>
      </c>
      <c r="B63" s="162" t="s">
        <v>164</v>
      </c>
      <c r="C63" s="164">
        <v>5</v>
      </c>
      <c r="D63" s="164">
        <v>2</v>
      </c>
      <c r="E63" s="217">
        <v>0</v>
      </c>
      <c r="F63" s="217">
        <f t="shared" si="9"/>
        <v>2</v>
      </c>
      <c r="G63" s="216">
        <v>834090</v>
      </c>
      <c r="H63" s="216">
        <f t="shared" si="7"/>
        <v>104261.25</v>
      </c>
      <c r="I63" s="216">
        <v>589224</v>
      </c>
      <c r="J63" s="215">
        <f t="shared" si="8"/>
        <v>333636</v>
      </c>
      <c r="K63" s="221"/>
      <c r="L63" s="216"/>
    </row>
    <row r="64" spans="1:12" s="16" customFormat="1" ht="30" customHeight="1">
      <c r="A64" s="210">
        <v>58</v>
      </c>
      <c r="B64" s="162" t="s">
        <v>68</v>
      </c>
      <c r="C64" s="164">
        <v>5</v>
      </c>
      <c r="D64" s="164">
        <v>3</v>
      </c>
      <c r="E64" s="217">
        <v>0</v>
      </c>
      <c r="F64" s="217">
        <f t="shared" si="9"/>
        <v>3</v>
      </c>
      <c r="G64" s="220">
        <v>690030</v>
      </c>
      <c r="H64" s="216">
        <f t="shared" si="7"/>
        <v>86253.75</v>
      </c>
      <c r="I64" s="220">
        <v>727536</v>
      </c>
      <c r="J64" s="215">
        <f t="shared" si="8"/>
        <v>276012</v>
      </c>
      <c r="K64" s="221"/>
      <c r="L64" s="216"/>
    </row>
    <row r="65" spans="1:12" s="16" customFormat="1" ht="30" customHeight="1">
      <c r="A65" s="210">
        <v>59</v>
      </c>
      <c r="B65" s="169" t="s">
        <v>104</v>
      </c>
      <c r="C65" s="164">
        <v>5</v>
      </c>
      <c r="D65" s="164">
        <v>3</v>
      </c>
      <c r="E65" s="217">
        <v>0</v>
      </c>
      <c r="F65" s="217">
        <f t="shared" si="9"/>
        <v>3</v>
      </c>
      <c r="G65" s="216">
        <v>564030</v>
      </c>
      <c r="H65" s="216">
        <f t="shared" si="7"/>
        <v>70503.75</v>
      </c>
      <c r="I65" s="216">
        <v>599004</v>
      </c>
      <c r="J65" s="215">
        <f t="shared" si="8"/>
        <v>225612</v>
      </c>
      <c r="K65" s="221"/>
      <c r="L65" s="216"/>
    </row>
    <row r="66" spans="1:12" s="16" customFormat="1" ht="30" customHeight="1">
      <c r="A66" s="210">
        <v>60</v>
      </c>
      <c r="B66" s="162" t="s">
        <v>157</v>
      </c>
      <c r="C66" s="164">
        <v>5</v>
      </c>
      <c r="D66" s="164">
        <v>1</v>
      </c>
      <c r="E66" s="217">
        <v>0</v>
      </c>
      <c r="F66" s="217">
        <f t="shared" si="9"/>
        <v>1</v>
      </c>
      <c r="G66" s="220">
        <v>188010</v>
      </c>
      <c r="H66" s="216">
        <f t="shared" si="7"/>
        <v>23501.25</v>
      </c>
      <c r="I66" s="220">
        <v>199668</v>
      </c>
      <c r="J66" s="215">
        <f t="shared" si="8"/>
        <v>75204</v>
      </c>
      <c r="K66" s="221"/>
      <c r="L66" s="216"/>
    </row>
    <row r="67" spans="1:12" s="16" customFormat="1" ht="30" customHeight="1">
      <c r="A67" s="210">
        <v>61</v>
      </c>
      <c r="B67" s="162" t="s">
        <v>176</v>
      </c>
      <c r="C67" s="164">
        <v>5</v>
      </c>
      <c r="D67" s="164">
        <v>4</v>
      </c>
      <c r="E67" s="217">
        <v>0</v>
      </c>
      <c r="F67" s="217">
        <f t="shared" si="9"/>
        <v>4</v>
      </c>
      <c r="G67" s="216">
        <v>1002240</v>
      </c>
      <c r="H67" s="216">
        <f t="shared" si="7"/>
        <v>125280</v>
      </c>
      <c r="I67" s="216">
        <v>922968</v>
      </c>
      <c r="J67" s="215">
        <f t="shared" si="8"/>
        <v>400896</v>
      </c>
      <c r="K67" s="216"/>
      <c r="L67" s="216"/>
    </row>
    <row r="68" spans="1:12" s="16" customFormat="1" ht="30" customHeight="1">
      <c r="A68" s="210">
        <v>62</v>
      </c>
      <c r="B68" s="162" t="s">
        <v>20</v>
      </c>
      <c r="C68" s="164" t="s">
        <v>182</v>
      </c>
      <c r="D68" s="164">
        <v>2</v>
      </c>
      <c r="E68" s="217">
        <v>0</v>
      </c>
      <c r="F68" s="217">
        <f>SUM(D68:E68)</f>
        <v>2</v>
      </c>
      <c r="G68" s="220">
        <v>860020</v>
      </c>
      <c r="H68" s="216">
        <f t="shared" si="7"/>
        <v>107502.5</v>
      </c>
      <c r="I68" s="220">
        <v>611928</v>
      </c>
      <c r="J68" s="215">
        <f t="shared" si="8"/>
        <v>344008</v>
      </c>
      <c r="K68" s="221"/>
      <c r="L68" s="216"/>
    </row>
    <row r="69" spans="1:12" s="16" customFormat="1" ht="30" customHeight="1">
      <c r="A69" s="210">
        <v>63</v>
      </c>
      <c r="B69" s="162" t="s">
        <v>12</v>
      </c>
      <c r="C69" s="164">
        <v>4</v>
      </c>
      <c r="D69" s="164">
        <v>2</v>
      </c>
      <c r="E69" s="45">
        <v>0</v>
      </c>
      <c r="F69" s="45">
        <f t="shared" ref="F69:F75" si="10">SUM(D69:E69)</f>
        <v>2</v>
      </c>
      <c r="G69" s="220">
        <v>425160</v>
      </c>
      <c r="H69" s="216">
        <f t="shared" si="7"/>
        <v>53145</v>
      </c>
      <c r="I69" s="215">
        <v>484392</v>
      </c>
      <c r="J69" s="215">
        <f t="shared" si="8"/>
        <v>170064</v>
      </c>
      <c r="K69" s="216"/>
      <c r="L69" s="216"/>
    </row>
    <row r="70" spans="1:12" s="16" customFormat="1" ht="30" customHeight="1">
      <c r="A70" s="210">
        <v>64</v>
      </c>
      <c r="B70" s="162" t="s">
        <v>19</v>
      </c>
      <c r="C70" s="164">
        <v>4</v>
      </c>
      <c r="D70" s="164">
        <v>1</v>
      </c>
      <c r="E70" s="217">
        <v>0</v>
      </c>
      <c r="F70" s="217">
        <f t="shared" si="10"/>
        <v>1</v>
      </c>
      <c r="G70" s="220">
        <v>363060</v>
      </c>
      <c r="H70" s="216">
        <f t="shared" si="7"/>
        <v>45382.5</v>
      </c>
      <c r="I70" s="220">
        <v>275436</v>
      </c>
      <c r="J70" s="215">
        <f t="shared" si="8"/>
        <v>145224</v>
      </c>
      <c r="K70" s="216"/>
      <c r="L70" s="216"/>
    </row>
    <row r="71" spans="1:12" s="16" customFormat="1" ht="30" customHeight="1">
      <c r="A71" s="210">
        <v>65</v>
      </c>
      <c r="B71" s="162" t="s">
        <v>190</v>
      </c>
      <c r="C71" s="164">
        <v>4</v>
      </c>
      <c r="D71" s="164">
        <v>0</v>
      </c>
      <c r="E71" s="45">
        <v>2</v>
      </c>
      <c r="F71" s="45">
        <f t="shared" si="10"/>
        <v>2</v>
      </c>
      <c r="G71" s="220">
        <v>675360</v>
      </c>
      <c r="H71" s="216">
        <f t="shared" si="7"/>
        <v>84420</v>
      </c>
      <c r="I71" s="220">
        <v>460836</v>
      </c>
      <c r="J71" s="215">
        <f t="shared" si="8"/>
        <v>270144</v>
      </c>
      <c r="K71" s="221"/>
      <c r="L71" s="216"/>
    </row>
    <row r="72" spans="1:12" s="16" customFormat="1" ht="30" customHeight="1">
      <c r="A72" s="210">
        <v>66</v>
      </c>
      <c r="B72" s="162" t="s">
        <v>184</v>
      </c>
      <c r="C72" s="164">
        <v>4</v>
      </c>
      <c r="D72" s="164">
        <v>1</v>
      </c>
      <c r="E72" s="45">
        <v>0</v>
      </c>
      <c r="F72" s="45">
        <f t="shared" si="10"/>
        <v>1</v>
      </c>
      <c r="G72" s="216">
        <v>370980</v>
      </c>
      <c r="H72" s="216">
        <f t="shared" si="7"/>
        <v>46372.5</v>
      </c>
      <c r="I72" s="216">
        <v>279396</v>
      </c>
      <c r="J72" s="215">
        <f t="shared" si="8"/>
        <v>148392</v>
      </c>
      <c r="K72" s="216"/>
      <c r="L72" s="216"/>
    </row>
    <row r="73" spans="1:12" s="16" customFormat="1" ht="30" customHeight="1">
      <c r="A73" s="210">
        <v>67</v>
      </c>
      <c r="B73" s="162" t="s">
        <v>235</v>
      </c>
      <c r="C73" s="164">
        <v>4</v>
      </c>
      <c r="D73" s="164">
        <v>1</v>
      </c>
      <c r="E73" s="45">
        <v>0</v>
      </c>
      <c r="F73" s="45">
        <f t="shared" si="10"/>
        <v>1</v>
      </c>
      <c r="G73" s="216">
        <v>355140</v>
      </c>
      <c r="H73" s="216">
        <f t="shared" si="7"/>
        <v>44392.5</v>
      </c>
      <c r="I73" s="216">
        <v>260676</v>
      </c>
      <c r="J73" s="215">
        <f t="shared" si="8"/>
        <v>142056</v>
      </c>
      <c r="K73" s="221"/>
      <c r="L73" s="216"/>
    </row>
    <row r="74" spans="1:12" s="16" customFormat="1" ht="30" customHeight="1">
      <c r="A74" s="210">
        <v>68</v>
      </c>
      <c r="B74" s="162" t="s">
        <v>20</v>
      </c>
      <c r="C74" s="164" t="s">
        <v>183</v>
      </c>
      <c r="D74" s="164">
        <v>14</v>
      </c>
      <c r="E74" s="217">
        <v>0</v>
      </c>
      <c r="F74" s="217">
        <f t="shared" si="10"/>
        <v>14</v>
      </c>
      <c r="G74" s="216">
        <v>5407560</v>
      </c>
      <c r="H74" s="216">
        <f t="shared" si="7"/>
        <v>675945</v>
      </c>
      <c r="I74" s="216">
        <v>4025664</v>
      </c>
      <c r="J74" s="215">
        <f t="shared" si="8"/>
        <v>2163024</v>
      </c>
      <c r="K74" s="216"/>
      <c r="L74" s="216"/>
    </row>
    <row r="75" spans="1:12" s="16" customFormat="1" ht="30" customHeight="1">
      <c r="A75" s="210">
        <v>69</v>
      </c>
      <c r="B75" s="162" t="s">
        <v>158</v>
      </c>
      <c r="C75" s="164">
        <v>3</v>
      </c>
      <c r="D75" s="164">
        <v>2</v>
      </c>
      <c r="E75" s="217">
        <v>0</v>
      </c>
      <c r="F75" s="217">
        <f t="shared" si="10"/>
        <v>2</v>
      </c>
      <c r="G75" s="216">
        <v>810990</v>
      </c>
      <c r="H75" s="216">
        <f t="shared" si="7"/>
        <v>101373.75</v>
      </c>
      <c r="I75" s="216">
        <v>574560</v>
      </c>
      <c r="J75" s="215">
        <f t="shared" si="8"/>
        <v>324396</v>
      </c>
      <c r="K75" s="216"/>
      <c r="L75" s="216"/>
    </row>
    <row r="76" spans="1:12" s="16" customFormat="1" ht="30" customHeight="1">
      <c r="A76" s="210">
        <v>70</v>
      </c>
      <c r="B76" s="162" t="s">
        <v>161</v>
      </c>
      <c r="C76" s="164">
        <v>3</v>
      </c>
      <c r="D76" s="164">
        <v>1</v>
      </c>
      <c r="E76" s="217">
        <v>0</v>
      </c>
      <c r="F76" s="217">
        <v>1</v>
      </c>
      <c r="G76" s="216">
        <v>175180</v>
      </c>
      <c r="H76" s="216">
        <f t="shared" ref="H76:H100" si="11">G76*12.5%</f>
        <v>21897.5</v>
      </c>
      <c r="I76" s="216">
        <v>187884</v>
      </c>
      <c r="J76" s="215">
        <f t="shared" ref="J76:J100" si="12">G76*40%</f>
        <v>70072</v>
      </c>
      <c r="K76" s="216"/>
      <c r="L76" s="216"/>
    </row>
    <row r="77" spans="1:12" s="16" customFormat="1" ht="30" customHeight="1">
      <c r="A77" s="210">
        <v>71</v>
      </c>
      <c r="B77" s="162" t="s">
        <v>13</v>
      </c>
      <c r="C77" s="164">
        <v>3</v>
      </c>
      <c r="D77" s="164">
        <v>1</v>
      </c>
      <c r="E77" s="217">
        <v>0</v>
      </c>
      <c r="F77" s="217">
        <f>SUM(D77:E77)</f>
        <v>1</v>
      </c>
      <c r="G77" s="216">
        <v>251590</v>
      </c>
      <c r="H77" s="216">
        <f t="shared" si="11"/>
        <v>31448.75</v>
      </c>
      <c r="I77" s="216">
        <v>220836</v>
      </c>
      <c r="J77" s="215">
        <f t="shared" si="12"/>
        <v>100636</v>
      </c>
      <c r="K77" s="216"/>
      <c r="L77" s="216"/>
    </row>
    <row r="78" spans="1:12" s="16" customFormat="1" ht="30" customHeight="1">
      <c r="A78" s="210">
        <v>72</v>
      </c>
      <c r="B78" s="169" t="s">
        <v>167</v>
      </c>
      <c r="C78" s="165">
        <v>3</v>
      </c>
      <c r="D78" s="164">
        <v>1</v>
      </c>
      <c r="E78" s="217">
        <v>0</v>
      </c>
      <c r="F78" s="217">
        <f t="shared" ref="F78" si="13">SUM(D78:E78)</f>
        <v>1</v>
      </c>
      <c r="G78" s="216">
        <v>175180</v>
      </c>
      <c r="H78" s="216">
        <f t="shared" si="11"/>
        <v>21897.5</v>
      </c>
      <c r="I78" s="216">
        <v>216360</v>
      </c>
      <c r="J78" s="215">
        <f t="shared" si="12"/>
        <v>70072</v>
      </c>
      <c r="K78" s="216"/>
      <c r="L78" s="216"/>
    </row>
    <row r="79" spans="1:12" s="16" customFormat="1" ht="30" customHeight="1">
      <c r="A79" s="210">
        <v>73</v>
      </c>
      <c r="B79" s="162" t="s">
        <v>20</v>
      </c>
      <c r="C79" s="164" t="s">
        <v>191</v>
      </c>
      <c r="D79" s="164">
        <v>3</v>
      </c>
      <c r="E79" s="217">
        <v>0</v>
      </c>
      <c r="F79" s="217">
        <f t="shared" ref="F79:F85" si="14">SUM(D79:E79)</f>
        <v>3</v>
      </c>
      <c r="G79" s="216">
        <v>1033620</v>
      </c>
      <c r="H79" s="216">
        <f t="shared" si="11"/>
        <v>129202.5</v>
      </c>
      <c r="I79" s="216">
        <v>796548</v>
      </c>
      <c r="J79" s="215">
        <f t="shared" si="12"/>
        <v>413448</v>
      </c>
      <c r="K79" s="216"/>
      <c r="L79" s="216"/>
    </row>
    <row r="80" spans="1:12" s="16" customFormat="1" ht="30" customHeight="1">
      <c r="A80" s="210">
        <v>74</v>
      </c>
      <c r="B80" s="162" t="s">
        <v>13</v>
      </c>
      <c r="C80" s="164">
        <v>2</v>
      </c>
      <c r="D80" s="164">
        <v>3</v>
      </c>
      <c r="E80" s="217">
        <v>0</v>
      </c>
      <c r="F80" s="217">
        <f t="shared" si="14"/>
        <v>3</v>
      </c>
      <c r="G80" s="216">
        <v>748890</v>
      </c>
      <c r="H80" s="216">
        <f t="shared" si="11"/>
        <v>93611.25</v>
      </c>
      <c r="I80" s="216">
        <v>664104</v>
      </c>
      <c r="J80" s="215">
        <f t="shared" si="12"/>
        <v>299556</v>
      </c>
      <c r="K80" s="216"/>
      <c r="L80" s="216"/>
    </row>
    <row r="81" spans="1:12" s="16" customFormat="1" ht="30" customHeight="1">
      <c r="A81" s="210">
        <v>75</v>
      </c>
      <c r="B81" s="162" t="s">
        <v>240</v>
      </c>
      <c r="C81" s="164">
        <v>2</v>
      </c>
      <c r="D81" s="164">
        <v>2</v>
      </c>
      <c r="E81" s="217">
        <v>0</v>
      </c>
      <c r="F81" s="217">
        <f t="shared" si="14"/>
        <v>2</v>
      </c>
      <c r="G81" s="216">
        <v>338540</v>
      </c>
      <c r="H81" s="216">
        <f t="shared" si="11"/>
        <v>42317.5</v>
      </c>
      <c r="I81" s="216">
        <v>389184</v>
      </c>
      <c r="J81" s="215">
        <f t="shared" si="12"/>
        <v>135416</v>
      </c>
      <c r="K81" s="216"/>
      <c r="L81" s="216"/>
    </row>
    <row r="82" spans="1:12" s="16" customFormat="1" ht="30" customHeight="1">
      <c r="A82" s="210">
        <v>76</v>
      </c>
      <c r="B82" s="169" t="s">
        <v>167</v>
      </c>
      <c r="C82" s="165">
        <v>2</v>
      </c>
      <c r="D82" s="164">
        <v>3</v>
      </c>
      <c r="E82" s="217">
        <v>0</v>
      </c>
      <c r="F82" s="217">
        <f t="shared" si="14"/>
        <v>3</v>
      </c>
      <c r="G82" s="216">
        <v>743010</v>
      </c>
      <c r="H82" s="216">
        <f t="shared" si="11"/>
        <v>92876.25</v>
      </c>
      <c r="I82" s="216">
        <v>627912</v>
      </c>
      <c r="J82" s="215">
        <f t="shared" si="12"/>
        <v>297204</v>
      </c>
      <c r="K82" s="216"/>
      <c r="L82" s="216"/>
    </row>
    <row r="83" spans="1:12" s="16" customFormat="1" ht="30" customHeight="1">
      <c r="A83" s="210">
        <v>77</v>
      </c>
      <c r="B83" s="162" t="s">
        <v>19</v>
      </c>
      <c r="C83" s="164">
        <v>2</v>
      </c>
      <c r="D83" s="164">
        <v>5</v>
      </c>
      <c r="E83" s="217">
        <v>0</v>
      </c>
      <c r="F83" s="217">
        <f t="shared" si="14"/>
        <v>5</v>
      </c>
      <c r="G83" s="216">
        <v>1024370</v>
      </c>
      <c r="H83" s="216">
        <f t="shared" si="11"/>
        <v>128046.25</v>
      </c>
      <c r="I83" s="216">
        <v>1069440</v>
      </c>
      <c r="J83" s="215">
        <f t="shared" si="12"/>
        <v>409748</v>
      </c>
      <c r="K83" s="216"/>
      <c r="L83" s="216"/>
    </row>
    <row r="84" spans="1:12" s="16" customFormat="1" ht="30" customHeight="1">
      <c r="A84" s="210">
        <v>78</v>
      </c>
      <c r="B84" s="162" t="s">
        <v>20</v>
      </c>
      <c r="C84" s="164" t="s">
        <v>192</v>
      </c>
      <c r="D84" s="164">
        <v>7</v>
      </c>
      <c r="E84" s="217">
        <v>0</v>
      </c>
      <c r="F84" s="217">
        <f t="shared" si="14"/>
        <v>7</v>
      </c>
      <c r="G84" s="216">
        <v>1719970</v>
      </c>
      <c r="H84" s="216">
        <f t="shared" si="11"/>
        <v>214996.25</v>
      </c>
      <c r="I84" s="216">
        <v>1518972</v>
      </c>
      <c r="J84" s="215">
        <f t="shared" si="12"/>
        <v>687988</v>
      </c>
      <c r="K84" s="216"/>
      <c r="L84" s="216"/>
    </row>
    <row r="85" spans="1:12" s="16" customFormat="1" ht="30" customHeight="1">
      <c r="A85" s="210">
        <v>79</v>
      </c>
      <c r="B85" s="162" t="s">
        <v>98</v>
      </c>
      <c r="C85" s="164">
        <v>1</v>
      </c>
      <c r="D85" s="164">
        <v>1</v>
      </c>
      <c r="E85" s="217">
        <v>0</v>
      </c>
      <c r="F85" s="217">
        <f t="shared" si="14"/>
        <v>1</v>
      </c>
      <c r="G85" s="216">
        <v>186250</v>
      </c>
      <c r="H85" s="216">
        <f>G85*12.5%</f>
        <v>23281.25</v>
      </c>
      <c r="I85" s="216">
        <v>219420</v>
      </c>
      <c r="J85" s="215">
        <f>G85*40%</f>
        <v>74500</v>
      </c>
      <c r="K85" s="216"/>
      <c r="L85" s="216"/>
    </row>
    <row r="86" spans="1:12" s="16" customFormat="1" ht="30" customHeight="1">
      <c r="A86" s="210">
        <v>80</v>
      </c>
      <c r="B86" s="162" t="s">
        <v>13</v>
      </c>
      <c r="C86" s="164">
        <v>1</v>
      </c>
      <c r="D86" s="164">
        <v>5</v>
      </c>
      <c r="E86" s="45">
        <v>0</v>
      </c>
      <c r="F86" s="45">
        <f t="shared" ref="F86" si="15">SUM(D86:E86)</f>
        <v>5</v>
      </c>
      <c r="G86" s="216">
        <v>874490</v>
      </c>
      <c r="H86" s="216">
        <f t="shared" si="11"/>
        <v>109311.25</v>
      </c>
      <c r="I86" s="216">
        <v>930456</v>
      </c>
      <c r="J86" s="215">
        <f t="shared" si="12"/>
        <v>349796</v>
      </c>
      <c r="K86" s="216"/>
      <c r="L86" s="216"/>
    </row>
    <row r="87" spans="1:12" s="16" customFormat="1" ht="30" customHeight="1">
      <c r="A87" s="210">
        <v>81</v>
      </c>
      <c r="B87" s="162" t="s">
        <v>108</v>
      </c>
      <c r="C87" s="164">
        <v>1</v>
      </c>
      <c r="D87" s="166">
        <v>1</v>
      </c>
      <c r="E87" s="217">
        <v>0</v>
      </c>
      <c r="F87" s="217">
        <f>SUM(D87:E87)</f>
        <v>1</v>
      </c>
      <c r="G87" s="216">
        <v>165610</v>
      </c>
      <c r="H87" s="216">
        <f t="shared" si="11"/>
        <v>20701.25</v>
      </c>
      <c r="I87" s="216">
        <v>175284</v>
      </c>
      <c r="J87" s="215">
        <f t="shared" si="12"/>
        <v>66244</v>
      </c>
      <c r="K87" s="216"/>
      <c r="L87" s="216"/>
    </row>
    <row r="88" spans="1:12" s="16" customFormat="1" ht="30" customHeight="1">
      <c r="A88" s="210">
        <v>82</v>
      </c>
      <c r="B88" s="162" t="s">
        <v>236</v>
      </c>
      <c r="C88" s="164">
        <v>1</v>
      </c>
      <c r="D88" s="164">
        <v>3</v>
      </c>
      <c r="E88" s="45">
        <v>0</v>
      </c>
      <c r="F88" s="45">
        <f t="shared" ref="F88:F91" si="16">SUM(D88:E88)</f>
        <v>3</v>
      </c>
      <c r="G88" s="216">
        <v>558750</v>
      </c>
      <c r="H88" s="216">
        <f t="shared" si="11"/>
        <v>69843.75</v>
      </c>
      <c r="I88" s="216">
        <v>611916</v>
      </c>
      <c r="J88" s="215">
        <f t="shared" si="12"/>
        <v>223500</v>
      </c>
      <c r="K88" s="216"/>
      <c r="L88" s="216"/>
    </row>
    <row r="89" spans="1:12" s="16" customFormat="1" ht="30" customHeight="1">
      <c r="A89" s="210">
        <v>83</v>
      </c>
      <c r="B89" s="162" t="s">
        <v>237</v>
      </c>
      <c r="C89" s="164">
        <v>1</v>
      </c>
      <c r="D89" s="164">
        <v>1</v>
      </c>
      <c r="E89" s="217">
        <v>0</v>
      </c>
      <c r="F89" s="217">
        <f>SUM(D89:E89)</f>
        <v>1</v>
      </c>
      <c r="G89" s="216">
        <v>206890</v>
      </c>
      <c r="H89" s="216">
        <f t="shared" si="11"/>
        <v>25861.25</v>
      </c>
      <c r="I89" s="216">
        <v>184176</v>
      </c>
      <c r="J89" s="215">
        <f t="shared" si="12"/>
        <v>82756</v>
      </c>
      <c r="K89" s="216"/>
      <c r="L89" s="216"/>
    </row>
    <row r="90" spans="1:12" s="16" customFormat="1" ht="30" customHeight="1">
      <c r="A90" s="210">
        <v>84</v>
      </c>
      <c r="B90" s="162" t="s">
        <v>146</v>
      </c>
      <c r="C90" s="164">
        <v>1</v>
      </c>
      <c r="D90" s="164">
        <v>1</v>
      </c>
      <c r="E90" s="217">
        <v>0</v>
      </c>
      <c r="F90" s="217">
        <f>SUM(D90:E90)</f>
        <v>1</v>
      </c>
      <c r="G90" s="216">
        <v>181090</v>
      </c>
      <c r="H90" s="216">
        <f t="shared" si="11"/>
        <v>22636.25</v>
      </c>
      <c r="I90" s="216">
        <v>182028</v>
      </c>
      <c r="J90" s="215">
        <f t="shared" si="12"/>
        <v>72436</v>
      </c>
      <c r="K90" s="216"/>
      <c r="L90" s="216"/>
    </row>
    <row r="91" spans="1:12" s="16" customFormat="1" ht="30" customHeight="1">
      <c r="A91" s="210">
        <v>85</v>
      </c>
      <c r="B91" s="162" t="s">
        <v>242</v>
      </c>
      <c r="C91" s="164">
        <v>1</v>
      </c>
      <c r="D91" s="164">
        <v>5</v>
      </c>
      <c r="E91" s="45">
        <v>0</v>
      </c>
      <c r="F91" s="45">
        <f t="shared" si="16"/>
        <v>5</v>
      </c>
      <c r="G91" s="216">
        <v>828050</v>
      </c>
      <c r="H91" s="216">
        <f t="shared" si="11"/>
        <v>103506.25</v>
      </c>
      <c r="I91" s="216">
        <v>902040</v>
      </c>
      <c r="J91" s="215">
        <f t="shared" si="12"/>
        <v>331220</v>
      </c>
      <c r="K91" s="216"/>
      <c r="L91" s="216"/>
    </row>
    <row r="92" spans="1:12" s="16" customFormat="1" ht="30" customHeight="1">
      <c r="A92" s="210">
        <v>86</v>
      </c>
      <c r="B92" s="162" t="s">
        <v>103</v>
      </c>
      <c r="C92" s="164">
        <v>1</v>
      </c>
      <c r="D92" s="164">
        <v>2</v>
      </c>
      <c r="E92" s="217">
        <v>0</v>
      </c>
      <c r="F92" s="217">
        <f>SUM(D92:E92)</f>
        <v>2</v>
      </c>
      <c r="G92" s="216">
        <v>557230</v>
      </c>
      <c r="H92" s="216">
        <f t="shared" si="11"/>
        <v>69653.75</v>
      </c>
      <c r="I92" s="216">
        <v>475284</v>
      </c>
      <c r="J92" s="215">
        <f t="shared" si="12"/>
        <v>222892</v>
      </c>
      <c r="K92" s="216"/>
      <c r="L92" s="216"/>
    </row>
    <row r="93" spans="1:12" s="16" customFormat="1" ht="30" customHeight="1">
      <c r="A93" s="210">
        <v>87</v>
      </c>
      <c r="B93" s="162" t="s">
        <v>190</v>
      </c>
      <c r="C93" s="164">
        <v>1</v>
      </c>
      <c r="D93" s="164">
        <v>2</v>
      </c>
      <c r="E93" s="45">
        <v>0</v>
      </c>
      <c r="F93" s="45">
        <f>SUM(D93:E93)</f>
        <v>2</v>
      </c>
      <c r="G93" s="216">
        <v>362180</v>
      </c>
      <c r="H93" s="216">
        <f t="shared" si="11"/>
        <v>45272.5</v>
      </c>
      <c r="I93" s="216">
        <v>264672</v>
      </c>
      <c r="J93" s="215">
        <f t="shared" si="12"/>
        <v>144872</v>
      </c>
      <c r="K93" s="216"/>
      <c r="L93" s="216"/>
    </row>
    <row r="94" spans="1:12" s="16" customFormat="1" ht="30" customHeight="1">
      <c r="A94" s="210">
        <v>88</v>
      </c>
      <c r="B94" s="169" t="s">
        <v>167</v>
      </c>
      <c r="C94" s="165">
        <v>1</v>
      </c>
      <c r="D94" s="164">
        <v>5</v>
      </c>
      <c r="E94" s="217">
        <v>0</v>
      </c>
      <c r="F94" s="217">
        <f t="shared" ref="F94" si="17">SUM(D94:E94)</f>
        <v>5</v>
      </c>
      <c r="G94" s="216">
        <v>859010</v>
      </c>
      <c r="H94" s="216">
        <f t="shared" si="11"/>
        <v>107376.25</v>
      </c>
      <c r="I94" s="216">
        <v>884410</v>
      </c>
      <c r="J94" s="215">
        <f t="shared" si="12"/>
        <v>343604</v>
      </c>
      <c r="K94" s="216"/>
      <c r="L94" s="216"/>
    </row>
    <row r="95" spans="1:12" s="16" customFormat="1" ht="30" customHeight="1">
      <c r="A95" s="210">
        <v>89</v>
      </c>
      <c r="B95" s="162" t="s">
        <v>177</v>
      </c>
      <c r="C95" s="164">
        <v>1</v>
      </c>
      <c r="D95" s="164">
        <v>8</v>
      </c>
      <c r="E95" s="217">
        <v>0</v>
      </c>
      <c r="F95" s="217">
        <f>SUM(D95:E95)</f>
        <v>8</v>
      </c>
      <c r="G95" s="216">
        <v>1324880</v>
      </c>
      <c r="H95" s="216">
        <f t="shared" si="11"/>
        <v>165610</v>
      </c>
      <c r="I95" s="216">
        <v>1405152</v>
      </c>
      <c r="J95" s="215">
        <f t="shared" si="12"/>
        <v>529952</v>
      </c>
      <c r="K95" s="216"/>
      <c r="L95" s="216"/>
    </row>
    <row r="96" spans="1:12" s="16" customFormat="1" ht="30" customHeight="1">
      <c r="A96" s="210">
        <v>90</v>
      </c>
      <c r="B96" s="162" t="s">
        <v>200</v>
      </c>
      <c r="C96" s="164">
        <v>1</v>
      </c>
      <c r="D96" s="164">
        <v>1</v>
      </c>
      <c r="E96" s="217">
        <v>0</v>
      </c>
      <c r="F96" s="217">
        <f>SUM(D96:E96)</f>
        <v>1</v>
      </c>
      <c r="G96" s="216">
        <v>186250</v>
      </c>
      <c r="H96" s="216">
        <f t="shared" si="11"/>
        <v>23281.25</v>
      </c>
      <c r="I96" s="216">
        <v>206620</v>
      </c>
      <c r="J96" s="215">
        <f t="shared" si="12"/>
        <v>74500</v>
      </c>
      <c r="K96" s="216"/>
      <c r="L96" s="216"/>
    </row>
    <row r="97" spans="1:16" s="16" customFormat="1" ht="30" customHeight="1">
      <c r="A97" s="210">
        <v>91</v>
      </c>
      <c r="B97" s="169" t="s">
        <v>13</v>
      </c>
      <c r="C97" s="165">
        <v>1</v>
      </c>
      <c r="D97" s="164">
        <v>5</v>
      </c>
      <c r="E97" s="217">
        <v>0</v>
      </c>
      <c r="F97" s="217">
        <f>SUM(D97:E97)</f>
        <v>5</v>
      </c>
      <c r="G97" s="216">
        <v>918150</v>
      </c>
      <c r="H97" s="216">
        <f t="shared" si="11"/>
        <v>114768.75</v>
      </c>
      <c r="I97" s="216">
        <v>926568</v>
      </c>
      <c r="J97" s="215">
        <f t="shared" si="12"/>
        <v>367260</v>
      </c>
      <c r="K97" s="216"/>
      <c r="L97" s="216"/>
    </row>
    <row r="98" spans="1:16" s="16" customFormat="1" ht="30" customHeight="1">
      <c r="A98" s="210">
        <v>92</v>
      </c>
      <c r="B98" s="162" t="s">
        <v>20</v>
      </c>
      <c r="C98" s="164">
        <v>1</v>
      </c>
      <c r="D98" s="164">
        <v>121</v>
      </c>
      <c r="E98" s="217">
        <v>5</v>
      </c>
      <c r="F98" s="217">
        <f t="shared" ref="F98:F100" si="18">SUM(D98:E98)</f>
        <v>126</v>
      </c>
      <c r="G98" s="216">
        <v>23857160</v>
      </c>
      <c r="H98" s="216">
        <f t="shared" si="11"/>
        <v>2982145</v>
      </c>
      <c r="I98" s="216">
        <v>23104482</v>
      </c>
      <c r="J98" s="215">
        <f t="shared" si="12"/>
        <v>9542864</v>
      </c>
      <c r="K98" s="216"/>
      <c r="L98" s="216"/>
      <c r="M98" s="204"/>
    </row>
    <row r="99" spans="1:16" s="16" customFormat="1" ht="30" customHeight="1">
      <c r="A99" s="210">
        <v>93</v>
      </c>
      <c r="B99" s="162" t="s">
        <v>24</v>
      </c>
      <c r="C99" s="164" t="s">
        <v>45</v>
      </c>
      <c r="D99" s="166">
        <v>1</v>
      </c>
      <c r="E99" s="217">
        <v>0</v>
      </c>
      <c r="F99" s="217">
        <f t="shared" si="18"/>
        <v>1</v>
      </c>
      <c r="G99" s="216">
        <v>180000</v>
      </c>
      <c r="H99" s="216">
        <v>0</v>
      </c>
      <c r="I99" s="216">
        <v>0</v>
      </c>
      <c r="J99" s="215">
        <v>0</v>
      </c>
      <c r="K99" s="216"/>
      <c r="L99" s="216"/>
    </row>
    <row r="100" spans="1:16" s="16" customFormat="1" ht="30" customHeight="1">
      <c r="A100" s="210">
        <v>94</v>
      </c>
      <c r="B100" s="162" t="s">
        <v>207</v>
      </c>
      <c r="C100" s="164" t="s">
        <v>45</v>
      </c>
      <c r="D100" s="164">
        <v>1</v>
      </c>
      <c r="E100" s="217">
        <v>0</v>
      </c>
      <c r="F100" s="217">
        <f t="shared" si="18"/>
        <v>1</v>
      </c>
      <c r="G100" s="216">
        <v>0</v>
      </c>
      <c r="H100" s="216">
        <f t="shared" si="11"/>
        <v>0</v>
      </c>
      <c r="I100" s="216">
        <v>0</v>
      </c>
      <c r="J100" s="215">
        <f t="shared" si="12"/>
        <v>0</v>
      </c>
      <c r="K100" s="216"/>
      <c r="L100" s="216"/>
    </row>
    <row r="101" spans="1:16" ht="35.1" customHeight="1">
      <c r="A101" s="315" t="s">
        <v>230</v>
      </c>
      <c r="B101" s="315"/>
      <c r="C101" s="315"/>
      <c r="D101" s="213">
        <f t="shared" ref="D101:L101" si="19">SUM(D7:D100)</f>
        <v>311</v>
      </c>
      <c r="E101" s="213">
        <f t="shared" si="19"/>
        <v>12</v>
      </c>
      <c r="F101" s="213">
        <f t="shared" si="19"/>
        <v>323</v>
      </c>
      <c r="G101" s="213">
        <f t="shared" si="19"/>
        <v>90157700</v>
      </c>
      <c r="H101" s="213">
        <f t="shared" si="19"/>
        <v>11247212.5</v>
      </c>
      <c r="I101" s="213">
        <f>SUM(I7:I100)</f>
        <v>78139932</v>
      </c>
      <c r="J101" s="213">
        <f t="shared" si="19"/>
        <v>35991080</v>
      </c>
      <c r="K101" s="213">
        <f t="shared" si="19"/>
        <v>0</v>
      </c>
      <c r="L101" s="213">
        <f t="shared" si="19"/>
        <v>0</v>
      </c>
      <c r="P101" s="205"/>
    </row>
    <row r="102" spans="1:16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6">
      <c r="B103" s="16"/>
      <c r="C103" s="16"/>
      <c r="D103" s="204"/>
      <c r="E103" s="204"/>
      <c r="F103" s="204"/>
      <c r="G103" s="204"/>
      <c r="H103" s="204"/>
      <c r="I103" s="204"/>
      <c r="J103" s="204"/>
      <c r="K103" s="204"/>
      <c r="L103" s="204"/>
    </row>
    <row r="104" spans="1:16">
      <c r="B104" s="16"/>
      <c r="C104" s="16"/>
      <c r="D104" s="16"/>
      <c r="E104" s="16"/>
      <c r="F104" s="16"/>
      <c r="G104" s="16"/>
      <c r="H104" s="16"/>
      <c r="I104" s="16"/>
      <c r="J104" s="204"/>
      <c r="K104" s="204"/>
      <c r="L104" s="204"/>
    </row>
    <row r="105" spans="1:16">
      <c r="B105" s="16"/>
      <c r="C105" s="16"/>
      <c r="D105" s="16"/>
      <c r="E105" s="16"/>
      <c r="F105" s="16"/>
      <c r="G105" s="16"/>
      <c r="H105" s="16"/>
      <c r="I105" s="16"/>
      <c r="J105" s="204"/>
      <c r="K105" s="204"/>
      <c r="L105" s="16"/>
    </row>
    <row r="106" spans="1:16">
      <c r="B106" s="16"/>
      <c r="C106" s="16"/>
      <c r="D106" s="16"/>
      <c r="E106" s="16"/>
      <c r="F106" s="16"/>
      <c r="G106" s="16"/>
      <c r="H106" s="16"/>
      <c r="I106" s="16"/>
      <c r="J106" s="204"/>
      <c r="K106" s="16"/>
      <c r="L106" s="16"/>
    </row>
    <row r="107" spans="1:16">
      <c r="B107" s="16"/>
      <c r="C107" s="16"/>
      <c r="D107" s="16"/>
      <c r="E107" s="16"/>
      <c r="F107" s="16"/>
      <c r="G107" s="16"/>
      <c r="H107" s="204"/>
      <c r="I107" s="204"/>
      <c r="J107" s="16"/>
      <c r="K107" s="204"/>
      <c r="L107" s="16"/>
    </row>
    <row r="108" spans="1:16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</sheetData>
  <autoFilter ref="A1:M10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5">
    <mergeCell ref="A101:C101"/>
    <mergeCell ref="A1:L1"/>
    <mergeCell ref="A2:L2"/>
    <mergeCell ref="A3:L3"/>
    <mergeCell ref="A4:L4"/>
    <mergeCell ref="A5:A6"/>
    <mergeCell ref="B5:B6"/>
    <mergeCell ref="C5:C6"/>
    <mergeCell ref="D5:F5"/>
    <mergeCell ref="G5:G6"/>
    <mergeCell ref="H5:H6"/>
    <mergeCell ref="I5:I6"/>
    <mergeCell ref="J5:J6"/>
    <mergeCell ref="K5:K6"/>
    <mergeCell ref="L5:L6"/>
  </mergeCells>
  <pageMargins left="1" right="0.75" top="0.5" bottom="0.5" header="0.5" footer="0.25"/>
  <pageSetup paperSize="9" scale="84" firstPageNumber="6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="85" zoomScaleNormal="55" zoomScaleSheetLayoutView="85" workbookViewId="0">
      <selection activeCell="A20" sqref="A20:M20"/>
    </sheetView>
  </sheetViews>
  <sheetFormatPr defaultRowHeight="20.100000000000001" customHeight="1"/>
  <cols>
    <col min="1" max="1" width="6.140625" customWidth="1"/>
    <col min="2" max="2" width="6.85546875" customWidth="1"/>
    <col min="3" max="3" width="18.5703125" customWidth="1"/>
    <col min="4" max="5" width="6.7109375" customWidth="1"/>
    <col min="6" max="6" width="7.85546875" customWidth="1"/>
    <col min="7" max="8" width="6.7109375" customWidth="1"/>
    <col min="9" max="9" width="7.85546875" customWidth="1"/>
    <col min="10" max="11" width="6.7109375" customWidth="1"/>
    <col min="12" max="12" width="7.85546875" customWidth="1"/>
    <col min="13" max="14" width="6.7109375" customWidth="1"/>
    <col min="15" max="15" width="7.85546875" customWidth="1"/>
    <col min="16" max="17" width="6.7109375" customWidth="1"/>
    <col min="18" max="18" width="7.85546875" customWidth="1"/>
  </cols>
  <sheetData>
    <row r="1" spans="1:18" ht="12.75" customHeight="1" thickBot="1"/>
    <row r="2" spans="1:18" ht="19.5" customHeight="1">
      <c r="A2" s="238" t="s">
        <v>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40"/>
    </row>
    <row r="3" spans="1:18" ht="26.25" customHeight="1">
      <c r="A3" s="241" t="s">
        <v>110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</row>
    <row r="4" spans="1:18" ht="20.100000000000001" customHeight="1">
      <c r="A4" s="244" t="s">
        <v>111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</row>
    <row r="5" spans="1:18" ht="20.100000000000001" customHeight="1">
      <c r="A5" s="337" t="s">
        <v>119</v>
      </c>
      <c r="B5" s="338"/>
      <c r="C5" s="338"/>
      <c r="D5" s="338"/>
      <c r="E5" s="338"/>
      <c r="F5" s="338"/>
      <c r="G5" s="338"/>
      <c r="H5" s="338"/>
      <c r="I5" s="338"/>
      <c r="J5" s="338"/>
      <c r="K5" s="335" t="s">
        <v>118</v>
      </c>
      <c r="L5" s="335"/>
      <c r="M5" s="335"/>
      <c r="N5" s="335"/>
      <c r="O5" s="335"/>
      <c r="P5" s="335"/>
      <c r="Q5" s="335"/>
      <c r="R5" s="336"/>
    </row>
    <row r="6" spans="1:18" ht="20.100000000000001" customHeight="1">
      <c r="A6" s="339" t="s">
        <v>120</v>
      </c>
      <c r="B6" s="340"/>
      <c r="C6" s="340"/>
      <c r="D6" s="340"/>
      <c r="E6" s="340"/>
      <c r="F6" s="340"/>
      <c r="G6" s="340"/>
      <c r="H6" s="340"/>
      <c r="I6" s="340"/>
      <c r="J6" s="340"/>
      <c r="K6" s="129"/>
      <c r="L6" s="129"/>
      <c r="M6" s="129"/>
      <c r="N6" s="129"/>
      <c r="O6" s="129"/>
      <c r="P6" s="129"/>
      <c r="Q6" s="129"/>
      <c r="R6" s="130"/>
    </row>
    <row r="7" spans="1:18" ht="20.100000000000001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1:18" ht="21" customHeight="1" thickBot="1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6"/>
    </row>
    <row r="9" spans="1:18" ht="27" customHeight="1">
      <c r="A9" s="267" t="s">
        <v>69</v>
      </c>
      <c r="B9" s="253" t="s">
        <v>2</v>
      </c>
      <c r="C9" s="253" t="s">
        <v>3</v>
      </c>
      <c r="D9" s="247" t="s">
        <v>4</v>
      </c>
      <c r="E9" s="248"/>
      <c r="F9" s="249"/>
      <c r="G9" s="247" t="s">
        <v>5</v>
      </c>
      <c r="H9" s="248"/>
      <c r="I9" s="249"/>
      <c r="J9" s="247" t="s">
        <v>6</v>
      </c>
      <c r="K9" s="248"/>
      <c r="L9" s="249"/>
      <c r="M9" s="258" t="s">
        <v>115</v>
      </c>
      <c r="N9" s="259"/>
      <c r="O9" s="260"/>
      <c r="P9" s="258" t="s">
        <v>116</v>
      </c>
      <c r="Q9" s="259"/>
      <c r="R9" s="260"/>
    </row>
    <row r="10" spans="1:18" ht="38.25" customHeight="1" thickBot="1">
      <c r="A10" s="268"/>
      <c r="B10" s="254"/>
      <c r="C10" s="270"/>
      <c r="D10" s="250"/>
      <c r="E10" s="251"/>
      <c r="F10" s="252"/>
      <c r="G10" s="250"/>
      <c r="H10" s="251"/>
      <c r="I10" s="252"/>
      <c r="J10" s="250"/>
      <c r="K10" s="251"/>
      <c r="L10" s="252"/>
      <c r="M10" s="261"/>
      <c r="N10" s="262"/>
      <c r="O10" s="263"/>
      <c r="P10" s="261"/>
      <c r="Q10" s="262"/>
      <c r="R10" s="263"/>
    </row>
    <row r="11" spans="1:18" ht="24" customHeight="1" thickBot="1">
      <c r="A11" s="269"/>
      <c r="B11" s="255"/>
      <c r="C11" s="271"/>
      <c r="D11" s="77" t="s">
        <v>7</v>
      </c>
      <c r="E11" s="77" t="s">
        <v>8</v>
      </c>
      <c r="F11" s="77" t="s">
        <v>1</v>
      </c>
      <c r="G11" s="77" t="s">
        <v>7</v>
      </c>
      <c r="H11" s="77" t="s">
        <v>8</v>
      </c>
      <c r="I11" s="77" t="s">
        <v>1</v>
      </c>
      <c r="J11" s="77" t="s">
        <v>7</v>
      </c>
      <c r="K11" s="77" t="s">
        <v>8</v>
      </c>
      <c r="L11" s="77" t="s">
        <v>1</v>
      </c>
      <c r="M11" s="77" t="s">
        <v>7</v>
      </c>
      <c r="N11" s="77" t="s">
        <v>8</v>
      </c>
      <c r="O11" s="77" t="s">
        <v>1</v>
      </c>
      <c r="P11" s="77" t="s">
        <v>7</v>
      </c>
      <c r="Q11" s="77" t="s">
        <v>8</v>
      </c>
      <c r="R11" s="77" t="s">
        <v>1</v>
      </c>
    </row>
    <row r="12" spans="1:18" ht="24" customHeight="1">
      <c r="A12" s="223"/>
      <c r="B12" s="224"/>
      <c r="C12" s="224"/>
      <c r="D12" s="4"/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02"/>
    </row>
    <row r="13" spans="1:18" ht="20.100000000000001" customHeight="1">
      <c r="A13" s="111"/>
      <c r="B13" s="6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9"/>
      <c r="R13" s="103"/>
    </row>
    <row r="14" spans="1:18" ht="26.25" customHeight="1">
      <c r="A14" s="111"/>
      <c r="B14" s="6"/>
      <c r="C14" s="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9"/>
      <c r="R14" s="103"/>
    </row>
    <row r="15" spans="1:18" ht="26.25" customHeight="1">
      <c r="A15" s="111"/>
      <c r="B15" s="6"/>
      <c r="C15" s="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9"/>
      <c r="R15" s="103"/>
    </row>
    <row r="16" spans="1:18" ht="26.25" customHeight="1">
      <c r="A16" s="111"/>
      <c r="B16" s="33"/>
      <c r="C16" s="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9"/>
      <c r="R16" s="103"/>
    </row>
    <row r="17" spans="1:18" ht="20.100000000000001" customHeight="1">
      <c r="A17" s="111"/>
      <c r="B17" s="6"/>
      <c r="C17" s="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9"/>
      <c r="R17" s="103"/>
    </row>
    <row r="18" spans="1:18" ht="20.100000000000001" customHeight="1">
      <c r="A18" s="112"/>
      <c r="B18" s="78"/>
      <c r="C18" s="79"/>
      <c r="D18" s="80"/>
      <c r="E18" s="80"/>
      <c r="F18" s="81"/>
      <c r="G18" s="80"/>
      <c r="H18" s="80"/>
      <c r="I18" s="19"/>
      <c r="J18" s="80"/>
      <c r="K18" s="80"/>
      <c r="L18" s="19"/>
      <c r="M18" s="80"/>
      <c r="N18" s="80"/>
      <c r="O18" s="81"/>
      <c r="P18" s="20"/>
      <c r="Q18" s="80"/>
      <c r="R18" s="103"/>
    </row>
    <row r="19" spans="1:18" ht="23.1" customHeight="1">
      <c r="A19" s="113"/>
      <c r="B19" s="341"/>
      <c r="C19" s="34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4"/>
    </row>
    <row r="20" spans="1:18" ht="20.100000000000001" customHeight="1">
      <c r="A20" t="s">
        <v>117</v>
      </c>
    </row>
  </sheetData>
  <mergeCells count="17">
    <mergeCell ref="A12:C12"/>
    <mergeCell ref="B19:C19"/>
    <mergeCell ref="A2:R2"/>
    <mergeCell ref="A3:R3"/>
    <mergeCell ref="A4:R4"/>
    <mergeCell ref="A8:R8"/>
    <mergeCell ref="A9:A11"/>
    <mergeCell ref="B9:B11"/>
    <mergeCell ref="C9:C11"/>
    <mergeCell ref="D9:F10"/>
    <mergeCell ref="G9:I10"/>
    <mergeCell ref="K5:R5"/>
    <mergeCell ref="A5:J5"/>
    <mergeCell ref="A6:J6"/>
    <mergeCell ref="J9:L10"/>
    <mergeCell ref="M9:O10"/>
    <mergeCell ref="P9:R10"/>
  </mergeCells>
  <pageMargins left="1.75" right="1" top="0.64" bottom="0.75" header="0.4" footer="0.5"/>
  <pageSetup paperSize="5" scale="90" firstPageNumber="46" orientation="landscape" useFirstPageNumber="1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opLeftCell="A4" zoomScale="82" zoomScaleNormal="82" zoomScaleSheetLayoutView="85" workbookViewId="0">
      <pane ySplit="8" topLeftCell="A12" activePane="bottomLeft" state="frozen"/>
      <selection activeCell="A4" sqref="A4"/>
      <selection pane="bottomLeft" activeCell="B37" sqref="B37"/>
    </sheetView>
  </sheetViews>
  <sheetFormatPr defaultRowHeight="20.100000000000001" customHeight="1"/>
  <cols>
    <col min="1" max="1" width="6.140625" customWidth="1"/>
    <col min="2" max="2" width="6.85546875" customWidth="1"/>
    <col min="3" max="3" width="19.140625" customWidth="1"/>
    <col min="4" max="5" width="6.7109375" customWidth="1"/>
    <col min="6" max="6" width="7.85546875" customWidth="1"/>
    <col min="7" max="8" width="6.7109375" customWidth="1"/>
    <col min="9" max="9" width="7.85546875" customWidth="1"/>
    <col min="10" max="11" width="6.7109375" customWidth="1"/>
    <col min="12" max="12" width="7.85546875" customWidth="1"/>
    <col min="13" max="14" width="6.7109375" customWidth="1"/>
    <col min="15" max="15" width="7.85546875" customWidth="1"/>
    <col min="16" max="17" width="6.7109375" customWidth="1"/>
    <col min="18" max="18" width="7.85546875" customWidth="1"/>
  </cols>
  <sheetData>
    <row r="1" spans="1:18" ht="12.75" customHeight="1" thickBot="1"/>
    <row r="2" spans="1:18" ht="19.5" customHeight="1">
      <c r="A2" s="238" t="s">
        <v>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40"/>
    </row>
    <row r="3" spans="1:18" ht="26.25" customHeight="1">
      <c r="A3" s="241" t="s">
        <v>110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</row>
    <row r="4" spans="1:18" ht="20.100000000000001" customHeight="1">
      <c r="A4" s="244" t="s">
        <v>111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</row>
    <row r="5" spans="1:18" ht="20.100000000000001" customHeight="1">
      <c r="A5" s="337" t="s">
        <v>112</v>
      </c>
      <c r="B5" s="338"/>
      <c r="C5" s="338"/>
      <c r="D5" s="338"/>
      <c r="E5" s="147"/>
      <c r="F5" s="147"/>
      <c r="G5" s="147"/>
      <c r="H5" s="147"/>
      <c r="I5" s="147"/>
      <c r="J5" s="147"/>
      <c r="K5" s="123" t="s">
        <v>113</v>
      </c>
      <c r="L5" s="147"/>
      <c r="M5" s="147"/>
      <c r="N5" s="147"/>
      <c r="O5" s="147"/>
      <c r="P5" s="147"/>
      <c r="Q5" s="147"/>
      <c r="R5" s="148"/>
    </row>
    <row r="6" spans="1:18" ht="20.100000000000001" customHeight="1">
      <c r="A6" s="126" t="s">
        <v>114</v>
      </c>
      <c r="B6" s="124"/>
      <c r="C6" s="124"/>
      <c r="D6" s="124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1:18" ht="20.100000000000001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21" customHeight="1" thickBot="1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6"/>
    </row>
    <row r="9" spans="1:18" ht="27" customHeight="1">
      <c r="A9" s="267" t="s">
        <v>69</v>
      </c>
      <c r="B9" s="253" t="s">
        <v>2</v>
      </c>
      <c r="C9" s="253" t="s">
        <v>3</v>
      </c>
      <c r="D9" s="247" t="s">
        <v>4</v>
      </c>
      <c r="E9" s="248"/>
      <c r="F9" s="249"/>
      <c r="G9" s="247" t="s">
        <v>5</v>
      </c>
      <c r="H9" s="248"/>
      <c r="I9" s="249"/>
      <c r="J9" s="247" t="s">
        <v>6</v>
      </c>
      <c r="K9" s="248"/>
      <c r="L9" s="249"/>
      <c r="M9" s="258" t="s">
        <v>115</v>
      </c>
      <c r="N9" s="259"/>
      <c r="O9" s="260"/>
      <c r="P9" s="258" t="s">
        <v>116</v>
      </c>
      <c r="Q9" s="259"/>
      <c r="R9" s="260"/>
    </row>
    <row r="10" spans="1:18" ht="16.5" customHeight="1" thickBot="1">
      <c r="A10" s="268"/>
      <c r="B10" s="254"/>
      <c r="C10" s="270"/>
      <c r="D10" s="250"/>
      <c r="E10" s="251"/>
      <c r="F10" s="252"/>
      <c r="G10" s="250"/>
      <c r="H10" s="251"/>
      <c r="I10" s="252"/>
      <c r="J10" s="250"/>
      <c r="K10" s="251"/>
      <c r="L10" s="252"/>
      <c r="M10" s="261"/>
      <c r="N10" s="262"/>
      <c r="O10" s="263"/>
      <c r="P10" s="261"/>
      <c r="Q10" s="262"/>
      <c r="R10" s="263"/>
    </row>
    <row r="11" spans="1:18" ht="19.5" customHeight="1" thickBot="1">
      <c r="A11" s="269"/>
      <c r="B11" s="255"/>
      <c r="C11" s="271"/>
      <c r="D11" s="77" t="s">
        <v>7</v>
      </c>
      <c r="E11" s="77" t="s">
        <v>8</v>
      </c>
      <c r="F11" s="77" t="s">
        <v>1</v>
      </c>
      <c r="G11" s="77" t="s">
        <v>7</v>
      </c>
      <c r="H11" s="77" t="s">
        <v>8</v>
      </c>
      <c r="I11" s="77" t="s">
        <v>1</v>
      </c>
      <c r="J11" s="77" t="s">
        <v>7</v>
      </c>
      <c r="K11" s="77" t="s">
        <v>8</v>
      </c>
      <c r="L11" s="77" t="s">
        <v>1</v>
      </c>
      <c r="M11" s="77" t="s">
        <v>7</v>
      </c>
      <c r="N11" s="77" t="s">
        <v>8</v>
      </c>
      <c r="O11" s="77" t="s">
        <v>1</v>
      </c>
      <c r="P11" s="77" t="s">
        <v>7</v>
      </c>
      <c r="Q11" s="77" t="s">
        <v>8</v>
      </c>
      <c r="R11" s="77" t="s">
        <v>1</v>
      </c>
    </row>
    <row r="12" spans="1:18" ht="24" customHeight="1">
      <c r="A12" s="223" t="s">
        <v>121</v>
      </c>
      <c r="B12" s="224"/>
      <c r="C12" s="224"/>
      <c r="D12" s="4"/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02"/>
    </row>
    <row r="13" spans="1:18" ht="20.100000000000001" customHeight="1">
      <c r="A13" s="111"/>
      <c r="B13" s="6"/>
      <c r="C13" s="150" t="s">
        <v>127</v>
      </c>
      <c r="D13" s="19">
        <v>1</v>
      </c>
      <c r="E13" s="19"/>
      <c r="F13" s="19">
        <f t="shared" ref="F13:F38" si="0">SUM(D13:E13)</f>
        <v>1</v>
      </c>
      <c r="G13" s="19">
        <v>1</v>
      </c>
      <c r="H13" s="19"/>
      <c r="I13" s="19">
        <f>G13+H13</f>
        <v>1</v>
      </c>
      <c r="J13" s="19">
        <v>0</v>
      </c>
      <c r="K13" s="19"/>
      <c r="L13" s="19">
        <f>J13</f>
        <v>0</v>
      </c>
      <c r="M13" s="19"/>
      <c r="N13" s="19"/>
      <c r="O13" s="19"/>
      <c r="P13" s="20">
        <f t="shared" ref="P13:P71" si="1">SUM(I13,L13)</f>
        <v>1</v>
      </c>
      <c r="Q13" s="19"/>
      <c r="R13" s="103">
        <f t="shared" ref="R13:R52" si="2">SUM(P13:Q13)</f>
        <v>1</v>
      </c>
    </row>
    <row r="14" spans="1:18" ht="19.5" customHeight="1">
      <c r="A14" s="114"/>
      <c r="B14" s="11"/>
      <c r="C14" s="150" t="s">
        <v>129</v>
      </c>
      <c r="D14" s="19">
        <v>1</v>
      </c>
      <c r="E14" s="19"/>
      <c r="F14" s="19">
        <f t="shared" si="0"/>
        <v>1</v>
      </c>
      <c r="G14" s="19">
        <v>1</v>
      </c>
      <c r="H14" s="19"/>
      <c r="I14" s="19">
        <f t="shared" ref="I14" si="3">G14+H14</f>
        <v>1</v>
      </c>
      <c r="J14" s="19">
        <v>0</v>
      </c>
      <c r="K14" s="19"/>
      <c r="L14" s="19">
        <f t="shared" ref="L14" si="4">J14</f>
        <v>0</v>
      </c>
      <c r="M14" s="19"/>
      <c r="N14" s="19"/>
      <c r="O14" s="19"/>
      <c r="P14" s="20">
        <f t="shared" ref="P14:P52" si="5">SUM(I14,L14)</f>
        <v>1</v>
      </c>
      <c r="Q14" s="19"/>
      <c r="R14" s="103">
        <f t="shared" si="2"/>
        <v>1</v>
      </c>
    </row>
    <row r="15" spans="1:18" ht="24.75" customHeight="1">
      <c r="A15" s="114">
        <v>1</v>
      </c>
      <c r="B15" s="137">
        <v>17</v>
      </c>
      <c r="C15" s="149" t="s">
        <v>130</v>
      </c>
      <c r="D15" s="20">
        <v>1</v>
      </c>
      <c r="E15" s="20"/>
      <c r="F15" s="20">
        <f t="shared" si="0"/>
        <v>1</v>
      </c>
      <c r="G15" s="20">
        <v>1</v>
      </c>
      <c r="H15" s="20"/>
      <c r="I15" s="20">
        <f t="shared" ref="I15:I24" si="6">SUM(G15:H15)</f>
        <v>1</v>
      </c>
      <c r="J15" s="20">
        <f>F15-I15</f>
        <v>0</v>
      </c>
      <c r="K15" s="20"/>
      <c r="L15" s="20">
        <f>J15</f>
        <v>0</v>
      </c>
      <c r="M15" s="20"/>
      <c r="N15" s="20"/>
      <c r="O15" s="20">
        <f t="shared" ref="O15:O22" si="7">SUM(M15:N15)</f>
        <v>0</v>
      </c>
      <c r="P15" s="20">
        <f t="shared" si="5"/>
        <v>1</v>
      </c>
      <c r="Q15" s="20"/>
      <c r="R15" s="106">
        <f t="shared" si="2"/>
        <v>1</v>
      </c>
    </row>
    <row r="16" spans="1:18" ht="24" customHeight="1">
      <c r="A16" s="114">
        <v>1</v>
      </c>
      <c r="B16" s="137">
        <v>17</v>
      </c>
      <c r="C16" s="138" t="s">
        <v>135</v>
      </c>
      <c r="D16" s="20">
        <v>1</v>
      </c>
      <c r="E16" s="20"/>
      <c r="F16" s="20">
        <f t="shared" si="0"/>
        <v>1</v>
      </c>
      <c r="G16" s="20">
        <v>1</v>
      </c>
      <c r="H16" s="20"/>
      <c r="I16" s="20">
        <f t="shared" si="6"/>
        <v>1</v>
      </c>
      <c r="J16" s="20">
        <f>F16-I16</f>
        <v>0</v>
      </c>
      <c r="K16" s="20"/>
      <c r="L16" s="20">
        <f>J16</f>
        <v>0</v>
      </c>
      <c r="M16" s="20"/>
      <c r="N16" s="20"/>
      <c r="O16" s="20">
        <f t="shared" si="7"/>
        <v>0</v>
      </c>
      <c r="P16" s="20">
        <f t="shared" si="5"/>
        <v>1</v>
      </c>
      <c r="Q16" s="20"/>
      <c r="R16" s="106">
        <f t="shared" si="2"/>
        <v>1</v>
      </c>
    </row>
    <row r="17" spans="1:18" ht="19.5" customHeight="1">
      <c r="A17" s="137">
        <v>1</v>
      </c>
      <c r="B17" s="137">
        <v>17</v>
      </c>
      <c r="C17" s="138" t="s">
        <v>142</v>
      </c>
      <c r="D17" s="139">
        <v>1</v>
      </c>
      <c r="E17" s="139"/>
      <c r="F17" s="139">
        <f t="shared" si="0"/>
        <v>1</v>
      </c>
      <c r="G17" s="139">
        <v>0</v>
      </c>
      <c r="H17" s="139"/>
      <c r="I17" s="139">
        <f t="shared" si="6"/>
        <v>0</v>
      </c>
      <c r="J17" s="139">
        <f>F17-I17</f>
        <v>1</v>
      </c>
      <c r="K17" s="139"/>
      <c r="L17" s="139">
        <f>J17</f>
        <v>1</v>
      </c>
      <c r="M17" s="139"/>
      <c r="N17" s="139"/>
      <c r="O17" s="139">
        <f t="shared" si="7"/>
        <v>0</v>
      </c>
      <c r="P17" s="139">
        <f t="shared" si="5"/>
        <v>1</v>
      </c>
      <c r="Q17" s="139"/>
      <c r="R17" s="140">
        <f t="shared" si="2"/>
        <v>1</v>
      </c>
    </row>
    <row r="18" spans="1:18" ht="20.100000000000001" customHeight="1">
      <c r="A18" s="115">
        <v>1</v>
      </c>
      <c r="B18" s="137">
        <v>17</v>
      </c>
      <c r="C18" s="138" t="s">
        <v>148</v>
      </c>
      <c r="D18" s="20">
        <v>1</v>
      </c>
      <c r="E18" s="20"/>
      <c r="F18" s="20">
        <f t="shared" si="0"/>
        <v>1</v>
      </c>
      <c r="G18" s="20">
        <v>1</v>
      </c>
      <c r="H18" s="20"/>
      <c r="I18" s="20">
        <f t="shared" si="6"/>
        <v>1</v>
      </c>
      <c r="J18" s="20"/>
      <c r="K18" s="20"/>
      <c r="L18" s="20">
        <f>SUM(J18:K18)</f>
        <v>0</v>
      </c>
      <c r="M18" s="20"/>
      <c r="N18" s="20"/>
      <c r="O18" s="20">
        <f t="shared" si="7"/>
        <v>0</v>
      </c>
      <c r="P18" s="20">
        <f t="shared" si="5"/>
        <v>1</v>
      </c>
      <c r="Q18" s="20"/>
      <c r="R18" s="106">
        <f t="shared" si="2"/>
        <v>1</v>
      </c>
    </row>
    <row r="19" spans="1:18" ht="18" customHeight="1">
      <c r="A19" s="114">
        <v>1</v>
      </c>
      <c r="B19" s="137">
        <v>17</v>
      </c>
      <c r="C19" s="138" t="s">
        <v>149</v>
      </c>
      <c r="D19" s="20">
        <v>1</v>
      </c>
      <c r="E19" s="20"/>
      <c r="F19" s="20">
        <f t="shared" si="0"/>
        <v>1</v>
      </c>
      <c r="G19" s="20">
        <v>1</v>
      </c>
      <c r="H19" s="20"/>
      <c r="I19" s="20">
        <f t="shared" si="6"/>
        <v>1</v>
      </c>
      <c r="J19" s="20">
        <f t="shared" ref="J19:J29" si="8">F19-I19</f>
        <v>0</v>
      </c>
      <c r="K19" s="20"/>
      <c r="L19" s="20">
        <f t="shared" ref="L19:L29" si="9">J19</f>
        <v>0</v>
      </c>
      <c r="M19" s="20"/>
      <c r="N19" s="20"/>
      <c r="O19" s="20">
        <f t="shared" si="7"/>
        <v>0</v>
      </c>
      <c r="P19" s="20">
        <f t="shared" si="5"/>
        <v>1</v>
      </c>
      <c r="Q19" s="20"/>
      <c r="R19" s="106">
        <f t="shared" si="2"/>
        <v>1</v>
      </c>
    </row>
    <row r="20" spans="1:18" ht="26.25" customHeight="1">
      <c r="A20" s="114">
        <v>2</v>
      </c>
      <c r="B20" s="137">
        <v>17</v>
      </c>
      <c r="C20" s="149" t="s">
        <v>18</v>
      </c>
      <c r="D20" s="20">
        <v>1</v>
      </c>
      <c r="E20" s="20"/>
      <c r="F20" s="20">
        <f t="shared" si="0"/>
        <v>1</v>
      </c>
      <c r="G20" s="20">
        <v>1</v>
      </c>
      <c r="H20" s="20"/>
      <c r="I20" s="20">
        <f t="shared" si="6"/>
        <v>1</v>
      </c>
      <c r="J20" s="20">
        <f t="shared" si="8"/>
        <v>0</v>
      </c>
      <c r="K20" s="20"/>
      <c r="L20" s="20">
        <f t="shared" si="9"/>
        <v>0</v>
      </c>
      <c r="M20" s="20"/>
      <c r="N20" s="20"/>
      <c r="O20" s="20">
        <f t="shared" si="7"/>
        <v>0</v>
      </c>
      <c r="P20" s="20">
        <f t="shared" si="5"/>
        <v>1</v>
      </c>
      <c r="Q20" s="20"/>
      <c r="R20" s="106">
        <f t="shared" si="2"/>
        <v>1</v>
      </c>
    </row>
    <row r="21" spans="1:18" ht="24" customHeight="1">
      <c r="A21" s="114">
        <v>2</v>
      </c>
      <c r="B21" s="137">
        <v>16</v>
      </c>
      <c r="C21" s="138" t="s">
        <v>95</v>
      </c>
      <c r="D21" s="20">
        <v>1</v>
      </c>
      <c r="E21" s="20"/>
      <c r="F21" s="20">
        <f t="shared" si="0"/>
        <v>1</v>
      </c>
      <c r="G21" s="20">
        <v>1</v>
      </c>
      <c r="H21" s="20"/>
      <c r="I21" s="20">
        <f t="shared" si="6"/>
        <v>1</v>
      </c>
      <c r="J21" s="20">
        <f t="shared" si="8"/>
        <v>0</v>
      </c>
      <c r="K21" s="20"/>
      <c r="L21" s="20">
        <f t="shared" si="9"/>
        <v>0</v>
      </c>
      <c r="M21" s="20"/>
      <c r="N21" s="20"/>
      <c r="O21" s="20">
        <f t="shared" si="7"/>
        <v>0</v>
      </c>
      <c r="P21" s="20">
        <f t="shared" si="5"/>
        <v>1</v>
      </c>
      <c r="Q21" s="20"/>
      <c r="R21" s="106">
        <f t="shared" si="2"/>
        <v>1</v>
      </c>
    </row>
    <row r="22" spans="1:18" ht="20.100000000000001" customHeight="1">
      <c r="A22" s="6">
        <v>2</v>
      </c>
      <c r="B22" s="137">
        <v>16</v>
      </c>
      <c r="C22" s="151" t="s">
        <v>49</v>
      </c>
      <c r="D22" s="19">
        <v>1</v>
      </c>
      <c r="E22" s="19"/>
      <c r="F22" s="19">
        <f t="shared" si="0"/>
        <v>1</v>
      </c>
      <c r="G22" s="19">
        <v>1</v>
      </c>
      <c r="H22" s="19"/>
      <c r="I22" s="19">
        <f t="shared" si="6"/>
        <v>1</v>
      </c>
      <c r="J22" s="19">
        <f t="shared" si="8"/>
        <v>0</v>
      </c>
      <c r="K22" s="19"/>
      <c r="L22" s="19">
        <f t="shared" si="9"/>
        <v>0</v>
      </c>
      <c r="M22" s="19"/>
      <c r="N22" s="19"/>
      <c r="O22" s="19">
        <f t="shared" si="7"/>
        <v>0</v>
      </c>
      <c r="P22" s="19">
        <f t="shared" si="5"/>
        <v>1</v>
      </c>
      <c r="Q22" s="19"/>
      <c r="R22" s="103">
        <f t="shared" si="2"/>
        <v>1</v>
      </c>
    </row>
    <row r="23" spans="1:18" ht="18" customHeight="1">
      <c r="A23" s="114">
        <v>4</v>
      </c>
      <c r="B23" s="137">
        <v>16</v>
      </c>
      <c r="C23" s="138" t="s">
        <v>150</v>
      </c>
      <c r="D23" s="20">
        <v>2</v>
      </c>
      <c r="E23" s="20"/>
      <c r="F23" s="20">
        <f t="shared" si="0"/>
        <v>2</v>
      </c>
      <c r="G23" s="20">
        <v>2</v>
      </c>
      <c r="H23" s="20"/>
      <c r="I23" s="20">
        <f t="shared" si="6"/>
        <v>2</v>
      </c>
      <c r="J23" s="20">
        <f t="shared" si="8"/>
        <v>0</v>
      </c>
      <c r="K23" s="20"/>
      <c r="L23" s="20">
        <f t="shared" si="9"/>
        <v>0</v>
      </c>
      <c r="M23" s="20"/>
      <c r="N23" s="20"/>
      <c r="O23" s="20"/>
      <c r="P23" s="20">
        <f t="shared" si="5"/>
        <v>2</v>
      </c>
      <c r="Q23" s="20"/>
      <c r="R23" s="106">
        <f t="shared" si="2"/>
        <v>2</v>
      </c>
    </row>
    <row r="24" spans="1:18" ht="18" customHeight="1">
      <c r="A24" s="114">
        <v>5</v>
      </c>
      <c r="B24" s="137">
        <v>16</v>
      </c>
      <c r="C24" s="149" t="s">
        <v>95</v>
      </c>
      <c r="D24" s="20">
        <v>1</v>
      </c>
      <c r="E24" s="20"/>
      <c r="F24" s="20">
        <f t="shared" si="0"/>
        <v>1</v>
      </c>
      <c r="G24" s="20">
        <v>1</v>
      </c>
      <c r="H24" s="20"/>
      <c r="I24" s="20">
        <f t="shared" si="6"/>
        <v>1</v>
      </c>
      <c r="J24" s="20">
        <f t="shared" si="8"/>
        <v>0</v>
      </c>
      <c r="K24" s="20"/>
      <c r="L24" s="20">
        <f t="shared" si="9"/>
        <v>0</v>
      </c>
      <c r="M24" s="20"/>
      <c r="N24" s="20"/>
      <c r="O24" s="20">
        <f t="shared" ref="O24:O51" si="10">SUM(M24:N24)</f>
        <v>0</v>
      </c>
      <c r="P24" s="20">
        <f t="shared" si="5"/>
        <v>1</v>
      </c>
      <c r="Q24" s="20"/>
      <c r="R24" s="106">
        <f t="shared" si="2"/>
        <v>1</v>
      </c>
    </row>
    <row r="25" spans="1:18" ht="24" customHeight="1">
      <c r="A25" s="114">
        <v>3</v>
      </c>
      <c r="B25" s="137">
        <v>15</v>
      </c>
      <c r="C25" s="138" t="s">
        <v>136</v>
      </c>
      <c r="D25" s="21">
        <v>1</v>
      </c>
      <c r="E25" s="21"/>
      <c r="F25" s="20">
        <f t="shared" si="0"/>
        <v>1</v>
      </c>
      <c r="G25" s="21">
        <v>1</v>
      </c>
      <c r="H25" s="21"/>
      <c r="I25" s="20">
        <v>1</v>
      </c>
      <c r="J25" s="20">
        <f t="shared" si="8"/>
        <v>0</v>
      </c>
      <c r="K25" s="21"/>
      <c r="L25" s="20">
        <f t="shared" si="9"/>
        <v>0</v>
      </c>
      <c r="M25" s="21"/>
      <c r="N25" s="21"/>
      <c r="O25" s="20">
        <f t="shared" si="10"/>
        <v>0</v>
      </c>
      <c r="P25" s="20">
        <f t="shared" si="5"/>
        <v>1</v>
      </c>
      <c r="Q25" s="21"/>
      <c r="R25" s="106">
        <f t="shared" si="2"/>
        <v>1</v>
      </c>
    </row>
    <row r="26" spans="1:18" ht="20.100000000000001" customHeight="1">
      <c r="A26" s="114">
        <v>3</v>
      </c>
      <c r="B26" s="137">
        <v>14</v>
      </c>
      <c r="C26" s="149" t="s">
        <v>16</v>
      </c>
      <c r="D26" s="20">
        <v>1</v>
      </c>
      <c r="E26" s="20"/>
      <c r="F26" s="20">
        <f t="shared" si="0"/>
        <v>1</v>
      </c>
      <c r="G26" s="20">
        <v>1</v>
      </c>
      <c r="H26" s="20"/>
      <c r="I26" s="20">
        <f>SUM(G26:H26)</f>
        <v>1</v>
      </c>
      <c r="J26" s="20">
        <f t="shared" si="8"/>
        <v>0</v>
      </c>
      <c r="K26" s="20"/>
      <c r="L26" s="20">
        <f t="shared" si="9"/>
        <v>0</v>
      </c>
      <c r="M26" s="20"/>
      <c r="N26" s="20"/>
      <c r="O26" s="20">
        <f t="shared" si="10"/>
        <v>0</v>
      </c>
      <c r="P26" s="20">
        <f t="shared" si="5"/>
        <v>1</v>
      </c>
      <c r="Q26" s="20"/>
      <c r="R26" s="106">
        <f t="shared" si="2"/>
        <v>1</v>
      </c>
    </row>
    <row r="27" spans="1:18" ht="20.100000000000001" customHeight="1">
      <c r="A27" s="114">
        <v>4</v>
      </c>
      <c r="B27" s="137">
        <v>14</v>
      </c>
      <c r="C27" s="138" t="s">
        <v>22</v>
      </c>
      <c r="D27" s="21">
        <v>1</v>
      </c>
      <c r="E27" s="21"/>
      <c r="F27" s="20">
        <f t="shared" si="0"/>
        <v>1</v>
      </c>
      <c r="G27" s="21">
        <v>1</v>
      </c>
      <c r="H27" s="21"/>
      <c r="I27" s="20">
        <f>SUM(G27:H27)</f>
        <v>1</v>
      </c>
      <c r="J27" s="20">
        <f t="shared" si="8"/>
        <v>0</v>
      </c>
      <c r="K27" s="21"/>
      <c r="L27" s="20">
        <f t="shared" si="9"/>
        <v>0</v>
      </c>
      <c r="M27" s="21"/>
      <c r="N27" s="21"/>
      <c r="O27" s="20">
        <f t="shared" si="10"/>
        <v>0</v>
      </c>
      <c r="P27" s="20">
        <f t="shared" si="5"/>
        <v>1</v>
      </c>
      <c r="Q27" s="21"/>
      <c r="R27" s="106">
        <f t="shared" si="2"/>
        <v>1</v>
      </c>
    </row>
    <row r="28" spans="1:18" ht="20.100000000000001" customHeight="1">
      <c r="A28" s="114">
        <v>5</v>
      </c>
      <c r="B28" s="152">
        <v>14</v>
      </c>
      <c r="C28" s="153" t="s">
        <v>16</v>
      </c>
      <c r="D28" s="21">
        <v>1</v>
      </c>
      <c r="E28" s="21"/>
      <c r="F28" s="20">
        <f t="shared" si="0"/>
        <v>1</v>
      </c>
      <c r="G28" s="21">
        <v>1</v>
      </c>
      <c r="H28" s="21"/>
      <c r="I28" s="20">
        <f>SUM(G28:H28)</f>
        <v>1</v>
      </c>
      <c r="J28" s="20">
        <f t="shared" si="8"/>
        <v>0</v>
      </c>
      <c r="K28" s="21"/>
      <c r="L28" s="20">
        <f t="shared" si="9"/>
        <v>0</v>
      </c>
      <c r="M28" s="21"/>
      <c r="N28" s="21"/>
      <c r="O28" s="20">
        <f t="shared" si="10"/>
        <v>0</v>
      </c>
      <c r="P28" s="20">
        <f t="shared" si="5"/>
        <v>1</v>
      </c>
      <c r="Q28" s="21"/>
      <c r="R28" s="106">
        <f t="shared" si="2"/>
        <v>1</v>
      </c>
    </row>
    <row r="29" spans="1:18" ht="22.5" customHeight="1">
      <c r="A29" s="6">
        <v>3</v>
      </c>
      <c r="B29" s="137">
        <v>14</v>
      </c>
      <c r="C29" s="138" t="s">
        <v>16</v>
      </c>
      <c r="D29" s="19">
        <v>1</v>
      </c>
      <c r="E29" s="19"/>
      <c r="F29" s="19">
        <f t="shared" si="0"/>
        <v>1</v>
      </c>
      <c r="G29" s="19">
        <v>1</v>
      </c>
      <c r="H29" s="19"/>
      <c r="I29" s="19">
        <f>SUM(G29:H29)</f>
        <v>1</v>
      </c>
      <c r="J29" s="19">
        <f t="shared" si="8"/>
        <v>0</v>
      </c>
      <c r="K29" s="19"/>
      <c r="L29" s="19">
        <f t="shared" si="9"/>
        <v>0</v>
      </c>
      <c r="M29" s="19"/>
      <c r="N29" s="19"/>
      <c r="O29" s="19">
        <f t="shared" si="10"/>
        <v>0</v>
      </c>
      <c r="P29" s="19">
        <f t="shared" si="5"/>
        <v>1</v>
      </c>
      <c r="Q29" s="19"/>
      <c r="R29" s="103">
        <f t="shared" si="2"/>
        <v>1</v>
      </c>
    </row>
    <row r="30" spans="1:18" ht="20.100000000000001" customHeight="1">
      <c r="A30" s="115">
        <v>2</v>
      </c>
      <c r="B30" s="137">
        <v>14</v>
      </c>
      <c r="C30" s="138" t="s">
        <v>16</v>
      </c>
      <c r="D30" s="20">
        <v>1</v>
      </c>
      <c r="E30" s="20"/>
      <c r="F30" s="20">
        <f t="shared" si="0"/>
        <v>1</v>
      </c>
      <c r="G30" s="20">
        <v>1</v>
      </c>
      <c r="H30" s="20"/>
      <c r="I30" s="20">
        <v>1</v>
      </c>
      <c r="J30" s="20"/>
      <c r="K30" s="20"/>
      <c r="L30" s="20">
        <f>SUM(J30:K30)</f>
        <v>0</v>
      </c>
      <c r="M30" s="20"/>
      <c r="N30" s="20"/>
      <c r="O30" s="20">
        <f t="shared" si="10"/>
        <v>0</v>
      </c>
      <c r="P30" s="20">
        <f t="shared" si="5"/>
        <v>1</v>
      </c>
      <c r="Q30" s="20"/>
      <c r="R30" s="106">
        <f t="shared" si="2"/>
        <v>1</v>
      </c>
    </row>
    <row r="31" spans="1:18" ht="18" customHeight="1">
      <c r="A31" s="114">
        <v>2</v>
      </c>
      <c r="B31" s="154">
        <v>14</v>
      </c>
      <c r="C31" s="150" t="s">
        <v>49</v>
      </c>
      <c r="D31" s="20">
        <v>1</v>
      </c>
      <c r="E31" s="20"/>
      <c r="F31" s="20">
        <f t="shared" si="0"/>
        <v>1</v>
      </c>
      <c r="G31" s="20">
        <v>1</v>
      </c>
      <c r="H31" s="20"/>
      <c r="I31" s="20">
        <f t="shared" ref="I31:I51" si="11">SUM(G31:H31)</f>
        <v>1</v>
      </c>
      <c r="J31" s="20">
        <f t="shared" ref="J31:J45" si="12">F31-I31</f>
        <v>0</v>
      </c>
      <c r="K31" s="20"/>
      <c r="L31" s="20">
        <f t="shared" ref="L31:L45" si="13">J31</f>
        <v>0</v>
      </c>
      <c r="M31" s="20"/>
      <c r="N31" s="20"/>
      <c r="O31" s="20">
        <f t="shared" si="10"/>
        <v>0</v>
      </c>
      <c r="P31" s="20">
        <f t="shared" si="5"/>
        <v>1</v>
      </c>
      <c r="Q31" s="20"/>
      <c r="R31" s="106">
        <f t="shared" si="2"/>
        <v>1</v>
      </c>
    </row>
    <row r="32" spans="1:18" ht="18" customHeight="1">
      <c r="A32" s="114">
        <v>6</v>
      </c>
      <c r="B32" s="137">
        <v>14</v>
      </c>
      <c r="C32" s="138" t="s">
        <v>151</v>
      </c>
      <c r="D32" s="20">
        <v>1</v>
      </c>
      <c r="E32" s="20"/>
      <c r="F32" s="20">
        <f t="shared" si="0"/>
        <v>1</v>
      </c>
      <c r="G32" s="20">
        <v>1</v>
      </c>
      <c r="H32" s="20"/>
      <c r="I32" s="20">
        <f t="shared" si="11"/>
        <v>1</v>
      </c>
      <c r="J32" s="20">
        <f t="shared" si="12"/>
        <v>0</v>
      </c>
      <c r="K32" s="20"/>
      <c r="L32" s="20">
        <f t="shared" si="13"/>
        <v>0</v>
      </c>
      <c r="M32" s="20"/>
      <c r="N32" s="20"/>
      <c r="O32" s="20">
        <f t="shared" si="10"/>
        <v>0</v>
      </c>
      <c r="P32" s="20">
        <f t="shared" si="5"/>
        <v>1</v>
      </c>
      <c r="Q32" s="20"/>
      <c r="R32" s="106">
        <f t="shared" si="2"/>
        <v>1</v>
      </c>
    </row>
    <row r="33" spans="1:18" ht="18" customHeight="1">
      <c r="A33" s="114">
        <v>7</v>
      </c>
      <c r="B33" s="137">
        <v>13</v>
      </c>
      <c r="C33" s="138" t="s">
        <v>27</v>
      </c>
      <c r="D33" s="20">
        <v>1</v>
      </c>
      <c r="E33" s="20"/>
      <c r="F33" s="20">
        <f t="shared" si="0"/>
        <v>1</v>
      </c>
      <c r="G33" s="20">
        <v>1</v>
      </c>
      <c r="H33" s="20"/>
      <c r="I33" s="20">
        <f t="shared" si="11"/>
        <v>1</v>
      </c>
      <c r="J33" s="20">
        <f t="shared" si="12"/>
        <v>0</v>
      </c>
      <c r="K33" s="20"/>
      <c r="L33" s="20">
        <f t="shared" si="13"/>
        <v>0</v>
      </c>
      <c r="M33" s="20"/>
      <c r="N33" s="20"/>
      <c r="O33" s="20">
        <f t="shared" si="10"/>
        <v>0</v>
      </c>
      <c r="P33" s="20">
        <f t="shared" si="5"/>
        <v>1</v>
      </c>
      <c r="Q33" s="20"/>
      <c r="R33" s="106">
        <f t="shared" si="2"/>
        <v>1</v>
      </c>
    </row>
    <row r="34" spans="1:18" ht="20.100000000000001" customHeight="1">
      <c r="A34" s="114">
        <v>4</v>
      </c>
      <c r="B34" s="137">
        <v>12</v>
      </c>
      <c r="C34" s="149" t="s">
        <v>10</v>
      </c>
      <c r="D34" s="20">
        <v>1</v>
      </c>
      <c r="E34" s="20"/>
      <c r="F34" s="20">
        <f t="shared" si="0"/>
        <v>1</v>
      </c>
      <c r="G34" s="20">
        <v>1</v>
      </c>
      <c r="H34" s="20"/>
      <c r="I34" s="20">
        <f t="shared" si="11"/>
        <v>1</v>
      </c>
      <c r="J34" s="20">
        <f t="shared" si="12"/>
        <v>0</v>
      </c>
      <c r="K34" s="20"/>
      <c r="L34" s="20">
        <f t="shared" si="13"/>
        <v>0</v>
      </c>
      <c r="M34" s="20"/>
      <c r="N34" s="20"/>
      <c r="O34" s="20">
        <f t="shared" si="10"/>
        <v>0</v>
      </c>
      <c r="P34" s="20">
        <f t="shared" si="5"/>
        <v>1</v>
      </c>
      <c r="Q34" s="20"/>
      <c r="R34" s="106">
        <f t="shared" si="2"/>
        <v>1</v>
      </c>
    </row>
    <row r="35" spans="1:18" ht="18.75" customHeight="1">
      <c r="A35" s="6">
        <v>4</v>
      </c>
      <c r="B35" s="137">
        <v>12</v>
      </c>
      <c r="C35" s="153" t="s">
        <v>99</v>
      </c>
      <c r="D35" s="19">
        <v>1</v>
      </c>
      <c r="E35" s="19"/>
      <c r="F35" s="19">
        <f t="shared" si="0"/>
        <v>1</v>
      </c>
      <c r="G35" s="19">
        <v>1</v>
      </c>
      <c r="H35" s="19"/>
      <c r="I35" s="19">
        <f t="shared" si="11"/>
        <v>1</v>
      </c>
      <c r="J35" s="19">
        <f t="shared" si="12"/>
        <v>0</v>
      </c>
      <c r="K35" s="19"/>
      <c r="L35" s="19">
        <f t="shared" si="13"/>
        <v>0</v>
      </c>
      <c r="M35" s="19"/>
      <c r="N35" s="19"/>
      <c r="O35" s="19">
        <f t="shared" si="10"/>
        <v>0</v>
      </c>
      <c r="P35" s="19">
        <f t="shared" si="5"/>
        <v>1</v>
      </c>
      <c r="Q35" s="19"/>
      <c r="R35" s="103">
        <f t="shared" si="2"/>
        <v>1</v>
      </c>
    </row>
    <row r="36" spans="1:18" ht="28.5" customHeight="1">
      <c r="A36" s="6">
        <v>5</v>
      </c>
      <c r="B36" s="137">
        <v>12</v>
      </c>
      <c r="C36" s="153" t="s">
        <v>143</v>
      </c>
      <c r="D36" s="19">
        <v>1</v>
      </c>
      <c r="E36" s="19"/>
      <c r="F36" s="19">
        <f t="shared" si="0"/>
        <v>1</v>
      </c>
      <c r="G36" s="19">
        <v>1</v>
      </c>
      <c r="H36" s="19"/>
      <c r="I36" s="19">
        <f t="shared" si="11"/>
        <v>1</v>
      </c>
      <c r="J36" s="19">
        <f t="shared" si="12"/>
        <v>0</v>
      </c>
      <c r="K36" s="19"/>
      <c r="L36" s="19">
        <f t="shared" si="13"/>
        <v>0</v>
      </c>
      <c r="M36" s="19"/>
      <c r="N36" s="19"/>
      <c r="O36" s="19">
        <f t="shared" si="10"/>
        <v>0</v>
      </c>
      <c r="P36" s="19">
        <f t="shared" si="5"/>
        <v>1</v>
      </c>
      <c r="Q36" s="19"/>
      <c r="R36" s="103">
        <f t="shared" si="2"/>
        <v>1</v>
      </c>
    </row>
    <row r="37" spans="1:18" ht="18" customHeight="1">
      <c r="A37" s="114">
        <v>3</v>
      </c>
      <c r="B37" s="137">
        <v>12</v>
      </c>
      <c r="C37" s="138" t="s">
        <v>99</v>
      </c>
      <c r="D37" s="20">
        <v>1</v>
      </c>
      <c r="E37" s="20"/>
      <c r="F37" s="20">
        <f t="shared" si="0"/>
        <v>1</v>
      </c>
      <c r="G37" s="20">
        <v>1</v>
      </c>
      <c r="H37" s="20"/>
      <c r="I37" s="20">
        <f t="shared" si="11"/>
        <v>1</v>
      </c>
      <c r="J37" s="20">
        <f t="shared" si="12"/>
        <v>0</v>
      </c>
      <c r="K37" s="20"/>
      <c r="L37" s="20">
        <f t="shared" si="13"/>
        <v>0</v>
      </c>
      <c r="M37" s="20"/>
      <c r="N37" s="20"/>
      <c r="O37" s="20">
        <f t="shared" si="10"/>
        <v>0</v>
      </c>
      <c r="P37" s="20">
        <f t="shared" si="5"/>
        <v>1</v>
      </c>
      <c r="Q37" s="20"/>
      <c r="R37" s="106">
        <f t="shared" si="2"/>
        <v>1</v>
      </c>
    </row>
    <row r="38" spans="1:18" ht="20.100000000000001" customHeight="1">
      <c r="A38" s="114">
        <v>5</v>
      </c>
      <c r="B38" s="137">
        <v>11</v>
      </c>
      <c r="C38" s="149" t="s">
        <v>95</v>
      </c>
      <c r="D38" s="20">
        <v>1</v>
      </c>
      <c r="E38" s="20"/>
      <c r="F38" s="20">
        <f t="shared" si="0"/>
        <v>1</v>
      </c>
      <c r="G38" s="20">
        <v>1</v>
      </c>
      <c r="H38" s="20"/>
      <c r="I38" s="20">
        <f t="shared" si="11"/>
        <v>1</v>
      </c>
      <c r="J38" s="20">
        <f t="shared" si="12"/>
        <v>0</v>
      </c>
      <c r="K38" s="20"/>
      <c r="L38" s="20">
        <f t="shared" si="13"/>
        <v>0</v>
      </c>
      <c r="M38" s="20"/>
      <c r="N38" s="20"/>
      <c r="O38" s="20">
        <f t="shared" si="10"/>
        <v>0</v>
      </c>
      <c r="P38" s="20">
        <f t="shared" si="5"/>
        <v>1</v>
      </c>
      <c r="Q38" s="20"/>
      <c r="R38" s="106">
        <f t="shared" si="2"/>
        <v>1</v>
      </c>
    </row>
    <row r="39" spans="1:18" ht="20.100000000000001" customHeight="1">
      <c r="A39" s="114">
        <v>6</v>
      </c>
      <c r="B39" s="155">
        <v>11</v>
      </c>
      <c r="C39" s="156" t="s">
        <v>11</v>
      </c>
      <c r="D39" s="20">
        <v>2</v>
      </c>
      <c r="E39" s="20"/>
      <c r="F39" s="20">
        <v>2</v>
      </c>
      <c r="G39" s="20">
        <v>2</v>
      </c>
      <c r="H39" s="20"/>
      <c r="I39" s="20">
        <f t="shared" si="11"/>
        <v>2</v>
      </c>
      <c r="J39" s="20">
        <f t="shared" si="12"/>
        <v>0</v>
      </c>
      <c r="K39" s="20"/>
      <c r="L39" s="20">
        <f t="shared" si="13"/>
        <v>0</v>
      </c>
      <c r="M39" s="20"/>
      <c r="N39" s="20"/>
      <c r="O39" s="20">
        <f t="shared" si="10"/>
        <v>0</v>
      </c>
      <c r="P39" s="20">
        <f t="shared" si="5"/>
        <v>2</v>
      </c>
      <c r="Q39" s="20"/>
      <c r="R39" s="106">
        <f t="shared" si="2"/>
        <v>2</v>
      </c>
    </row>
    <row r="40" spans="1:18" ht="20.100000000000001" customHeight="1">
      <c r="A40" s="114">
        <v>7</v>
      </c>
      <c r="B40" s="6">
        <v>11</v>
      </c>
      <c r="C40" s="131" t="s">
        <v>96</v>
      </c>
      <c r="D40" s="20">
        <v>1</v>
      </c>
      <c r="E40" s="20"/>
      <c r="F40" s="20">
        <f t="shared" ref="F40:F51" si="14">SUM(D40:E40)</f>
        <v>1</v>
      </c>
      <c r="G40" s="20">
        <v>1</v>
      </c>
      <c r="H40" s="20"/>
      <c r="I40" s="20">
        <f t="shared" si="11"/>
        <v>1</v>
      </c>
      <c r="J40" s="20">
        <f t="shared" si="12"/>
        <v>0</v>
      </c>
      <c r="K40" s="20"/>
      <c r="L40" s="20">
        <f t="shared" si="13"/>
        <v>0</v>
      </c>
      <c r="M40" s="20"/>
      <c r="N40" s="20"/>
      <c r="O40" s="20">
        <f t="shared" si="10"/>
        <v>0</v>
      </c>
      <c r="P40" s="20">
        <f t="shared" si="5"/>
        <v>1</v>
      </c>
      <c r="Q40" s="20"/>
      <c r="R40" s="106">
        <f t="shared" si="2"/>
        <v>1</v>
      </c>
    </row>
    <row r="41" spans="1:18" ht="20.100000000000001" customHeight="1">
      <c r="A41" s="114">
        <v>6</v>
      </c>
      <c r="B41" s="6">
        <v>11</v>
      </c>
      <c r="C41" s="8" t="s">
        <v>137</v>
      </c>
      <c r="D41" s="21">
        <v>1</v>
      </c>
      <c r="E41" s="21"/>
      <c r="F41" s="20">
        <f t="shared" si="14"/>
        <v>1</v>
      </c>
      <c r="G41" s="21">
        <v>1</v>
      </c>
      <c r="H41" s="21"/>
      <c r="I41" s="20">
        <f t="shared" si="11"/>
        <v>1</v>
      </c>
      <c r="J41" s="20">
        <f t="shared" si="12"/>
        <v>0</v>
      </c>
      <c r="K41" s="21"/>
      <c r="L41" s="20">
        <f t="shared" si="13"/>
        <v>0</v>
      </c>
      <c r="M41" s="21"/>
      <c r="N41" s="21"/>
      <c r="O41" s="20">
        <f t="shared" si="10"/>
        <v>0</v>
      </c>
      <c r="P41" s="20">
        <f t="shared" si="5"/>
        <v>1</v>
      </c>
      <c r="Q41" s="21"/>
      <c r="R41" s="106">
        <f t="shared" si="2"/>
        <v>1</v>
      </c>
    </row>
    <row r="42" spans="1:18" ht="20.100000000000001" customHeight="1">
      <c r="A42" s="114">
        <v>7</v>
      </c>
      <c r="B42" s="6">
        <v>11</v>
      </c>
      <c r="C42" s="8" t="s">
        <v>138</v>
      </c>
      <c r="D42" s="21">
        <v>1</v>
      </c>
      <c r="E42" s="21"/>
      <c r="F42" s="20">
        <f t="shared" si="14"/>
        <v>1</v>
      </c>
      <c r="G42" s="21">
        <v>1</v>
      </c>
      <c r="H42" s="21"/>
      <c r="I42" s="20">
        <f t="shared" si="11"/>
        <v>1</v>
      </c>
      <c r="J42" s="20">
        <f t="shared" si="12"/>
        <v>0</v>
      </c>
      <c r="K42" s="21"/>
      <c r="L42" s="20">
        <f t="shared" si="13"/>
        <v>0</v>
      </c>
      <c r="M42" s="21"/>
      <c r="N42" s="21"/>
      <c r="O42" s="20">
        <f t="shared" si="10"/>
        <v>0</v>
      </c>
      <c r="P42" s="20">
        <f t="shared" si="5"/>
        <v>1</v>
      </c>
      <c r="Q42" s="21"/>
      <c r="R42" s="106">
        <f t="shared" si="2"/>
        <v>1</v>
      </c>
    </row>
    <row r="43" spans="1:18" ht="20.100000000000001" customHeight="1">
      <c r="A43" s="114">
        <v>8</v>
      </c>
      <c r="B43" s="6">
        <v>11</v>
      </c>
      <c r="C43" s="8" t="s">
        <v>100</v>
      </c>
      <c r="D43" s="21">
        <v>1</v>
      </c>
      <c r="E43" s="21"/>
      <c r="F43" s="20">
        <f t="shared" si="14"/>
        <v>1</v>
      </c>
      <c r="G43" s="21">
        <v>1</v>
      </c>
      <c r="H43" s="21"/>
      <c r="I43" s="20">
        <f t="shared" si="11"/>
        <v>1</v>
      </c>
      <c r="J43" s="20">
        <f t="shared" si="12"/>
        <v>0</v>
      </c>
      <c r="K43" s="21"/>
      <c r="L43" s="20">
        <f t="shared" si="13"/>
        <v>0</v>
      </c>
      <c r="M43" s="21"/>
      <c r="N43" s="21"/>
      <c r="O43" s="20">
        <f t="shared" si="10"/>
        <v>0</v>
      </c>
      <c r="P43" s="20">
        <f t="shared" si="5"/>
        <v>1</v>
      </c>
      <c r="Q43" s="21"/>
      <c r="R43" s="106">
        <f t="shared" si="2"/>
        <v>1</v>
      </c>
    </row>
    <row r="44" spans="1:18" ht="20.100000000000001" customHeight="1">
      <c r="A44" s="114">
        <v>9</v>
      </c>
      <c r="B44" s="137">
        <v>11</v>
      </c>
      <c r="C44" s="153" t="s">
        <v>11</v>
      </c>
      <c r="D44" s="21">
        <v>2</v>
      </c>
      <c r="E44" s="21"/>
      <c r="F44" s="20">
        <f t="shared" si="14"/>
        <v>2</v>
      </c>
      <c r="G44" s="21">
        <v>2</v>
      </c>
      <c r="H44" s="21"/>
      <c r="I44" s="20">
        <f t="shared" si="11"/>
        <v>2</v>
      </c>
      <c r="J44" s="20">
        <f t="shared" si="12"/>
        <v>0</v>
      </c>
      <c r="K44" s="21"/>
      <c r="L44" s="20">
        <f t="shared" si="13"/>
        <v>0</v>
      </c>
      <c r="M44" s="21"/>
      <c r="N44" s="21"/>
      <c r="O44" s="20">
        <f t="shared" si="10"/>
        <v>0</v>
      </c>
      <c r="P44" s="20">
        <f t="shared" si="5"/>
        <v>2</v>
      </c>
      <c r="Q44" s="21"/>
      <c r="R44" s="106">
        <f t="shared" si="2"/>
        <v>2</v>
      </c>
    </row>
    <row r="45" spans="1:18" ht="25.5" customHeight="1">
      <c r="A45" s="6">
        <v>7</v>
      </c>
      <c r="B45" s="6">
        <v>11</v>
      </c>
      <c r="C45" s="5" t="s">
        <v>145</v>
      </c>
      <c r="D45" s="19">
        <v>1</v>
      </c>
      <c r="E45" s="19"/>
      <c r="F45" s="19">
        <f t="shared" si="14"/>
        <v>1</v>
      </c>
      <c r="G45" s="19">
        <v>1</v>
      </c>
      <c r="H45" s="19"/>
      <c r="I45" s="19">
        <f t="shared" si="11"/>
        <v>1</v>
      </c>
      <c r="J45" s="19">
        <f t="shared" si="12"/>
        <v>0</v>
      </c>
      <c r="K45" s="19"/>
      <c r="L45" s="19">
        <f t="shared" si="13"/>
        <v>0</v>
      </c>
      <c r="M45" s="19"/>
      <c r="N45" s="19"/>
      <c r="O45" s="19">
        <f t="shared" si="10"/>
        <v>0</v>
      </c>
      <c r="P45" s="19">
        <f t="shared" si="5"/>
        <v>1</v>
      </c>
      <c r="Q45" s="19"/>
      <c r="R45" s="103">
        <f t="shared" si="2"/>
        <v>1</v>
      </c>
    </row>
    <row r="46" spans="1:18" ht="20.100000000000001" customHeight="1">
      <c r="A46" s="115">
        <v>3</v>
      </c>
      <c r="B46" s="137">
        <v>11</v>
      </c>
      <c r="C46" s="138" t="s">
        <v>99</v>
      </c>
      <c r="D46" s="20">
        <v>1</v>
      </c>
      <c r="E46" s="20"/>
      <c r="F46" s="20">
        <f t="shared" si="14"/>
        <v>1</v>
      </c>
      <c r="G46" s="20">
        <v>1</v>
      </c>
      <c r="H46" s="20"/>
      <c r="I46" s="20">
        <f t="shared" si="11"/>
        <v>1</v>
      </c>
      <c r="J46" s="20"/>
      <c r="K46" s="20"/>
      <c r="L46" s="20">
        <f>SUM(J46:K46)</f>
        <v>0</v>
      </c>
      <c r="M46" s="20"/>
      <c r="N46" s="20"/>
      <c r="O46" s="20">
        <f t="shared" si="10"/>
        <v>0</v>
      </c>
      <c r="P46" s="20">
        <f t="shared" si="5"/>
        <v>1</v>
      </c>
      <c r="Q46" s="20"/>
      <c r="R46" s="106">
        <f t="shared" si="2"/>
        <v>1</v>
      </c>
    </row>
    <row r="47" spans="1:18" ht="20.100000000000001" customHeight="1">
      <c r="A47" s="115">
        <v>4</v>
      </c>
      <c r="B47" s="6">
        <v>11</v>
      </c>
      <c r="C47" s="5" t="s">
        <v>26</v>
      </c>
      <c r="D47" s="20">
        <v>1</v>
      </c>
      <c r="E47" s="20"/>
      <c r="F47" s="20">
        <f t="shared" si="14"/>
        <v>1</v>
      </c>
      <c r="G47" s="20">
        <v>1</v>
      </c>
      <c r="H47" s="20"/>
      <c r="I47" s="20">
        <f t="shared" si="11"/>
        <v>1</v>
      </c>
      <c r="J47" s="20"/>
      <c r="K47" s="20"/>
      <c r="L47" s="20">
        <f>SUM(J47:K47)</f>
        <v>0</v>
      </c>
      <c r="M47" s="20"/>
      <c r="N47" s="20"/>
      <c r="O47" s="20">
        <f t="shared" si="10"/>
        <v>0</v>
      </c>
      <c r="P47" s="20">
        <f t="shared" si="5"/>
        <v>1</v>
      </c>
      <c r="Q47" s="20"/>
      <c r="R47" s="106">
        <f t="shared" si="2"/>
        <v>1</v>
      </c>
    </row>
    <row r="48" spans="1:18" ht="20.100000000000001" customHeight="1">
      <c r="A48" s="115">
        <v>5</v>
      </c>
      <c r="B48" s="6">
        <v>11</v>
      </c>
      <c r="C48" s="8" t="s">
        <v>25</v>
      </c>
      <c r="D48" s="20">
        <v>1</v>
      </c>
      <c r="E48" s="20"/>
      <c r="F48" s="20">
        <f t="shared" si="14"/>
        <v>1</v>
      </c>
      <c r="G48" s="20">
        <v>1</v>
      </c>
      <c r="H48" s="20"/>
      <c r="I48" s="20">
        <f t="shared" si="11"/>
        <v>1</v>
      </c>
      <c r="J48" s="20"/>
      <c r="K48" s="20"/>
      <c r="L48" s="20">
        <f>SUM(J48:K48)</f>
        <v>0</v>
      </c>
      <c r="M48" s="20"/>
      <c r="N48" s="20"/>
      <c r="O48" s="20">
        <f t="shared" si="10"/>
        <v>0</v>
      </c>
      <c r="P48" s="20">
        <f t="shared" si="5"/>
        <v>1</v>
      </c>
      <c r="Q48" s="20"/>
      <c r="R48" s="106">
        <f t="shared" si="2"/>
        <v>1</v>
      </c>
    </row>
    <row r="49" spans="1:18" ht="20.100000000000001" customHeight="1">
      <c r="A49" s="115">
        <v>6</v>
      </c>
      <c r="B49" s="137">
        <v>11</v>
      </c>
      <c r="C49" s="138" t="s">
        <v>11</v>
      </c>
      <c r="D49" s="20">
        <v>2</v>
      </c>
      <c r="E49" s="20"/>
      <c r="F49" s="20">
        <f t="shared" si="14"/>
        <v>2</v>
      </c>
      <c r="G49" s="20">
        <v>2</v>
      </c>
      <c r="H49" s="20"/>
      <c r="I49" s="20">
        <f t="shared" si="11"/>
        <v>2</v>
      </c>
      <c r="J49" s="20"/>
      <c r="K49" s="20"/>
      <c r="L49" s="20">
        <f>SUM(J49:K49)</f>
        <v>0</v>
      </c>
      <c r="M49" s="20"/>
      <c r="N49" s="20"/>
      <c r="O49" s="20">
        <f t="shared" si="10"/>
        <v>0</v>
      </c>
      <c r="P49" s="20">
        <f t="shared" si="5"/>
        <v>2</v>
      </c>
      <c r="Q49" s="20"/>
      <c r="R49" s="106">
        <f t="shared" si="2"/>
        <v>2</v>
      </c>
    </row>
    <row r="50" spans="1:18" ht="18" customHeight="1">
      <c r="A50" s="114">
        <v>8</v>
      </c>
      <c r="B50" s="6">
        <v>11</v>
      </c>
      <c r="C50" s="8" t="s">
        <v>26</v>
      </c>
      <c r="D50" s="20">
        <v>3</v>
      </c>
      <c r="E50" s="20"/>
      <c r="F50" s="20">
        <f t="shared" si="14"/>
        <v>3</v>
      </c>
      <c r="G50" s="20">
        <v>3</v>
      </c>
      <c r="H50" s="20"/>
      <c r="I50" s="20">
        <f t="shared" si="11"/>
        <v>3</v>
      </c>
      <c r="J50" s="20">
        <f>F50-I50</f>
        <v>0</v>
      </c>
      <c r="K50" s="20"/>
      <c r="L50" s="20">
        <f>J50</f>
        <v>0</v>
      </c>
      <c r="M50" s="20"/>
      <c r="N50" s="20"/>
      <c r="O50" s="20">
        <f t="shared" si="10"/>
        <v>0</v>
      </c>
      <c r="P50" s="20">
        <f t="shared" si="5"/>
        <v>3</v>
      </c>
      <c r="Q50" s="20"/>
      <c r="R50" s="106">
        <f t="shared" si="2"/>
        <v>3</v>
      </c>
    </row>
    <row r="51" spans="1:18" ht="18" customHeight="1">
      <c r="A51" s="114">
        <v>9</v>
      </c>
      <c r="B51" s="6">
        <v>11</v>
      </c>
      <c r="C51" s="141" t="s">
        <v>152</v>
      </c>
      <c r="D51" s="20">
        <v>1</v>
      </c>
      <c r="E51" s="20"/>
      <c r="F51" s="20">
        <f t="shared" si="14"/>
        <v>1</v>
      </c>
      <c r="G51" s="20">
        <v>1</v>
      </c>
      <c r="H51" s="20"/>
      <c r="I51" s="20">
        <f t="shared" si="11"/>
        <v>1</v>
      </c>
      <c r="J51" s="20">
        <f>F51-I51</f>
        <v>0</v>
      </c>
      <c r="K51" s="20"/>
      <c r="L51" s="20">
        <f>J51</f>
        <v>0</v>
      </c>
      <c r="M51" s="20"/>
      <c r="N51" s="20"/>
      <c r="O51" s="20">
        <f t="shared" si="10"/>
        <v>0</v>
      </c>
      <c r="P51" s="20">
        <f t="shared" si="5"/>
        <v>1</v>
      </c>
      <c r="Q51" s="20"/>
      <c r="R51" s="106">
        <f t="shared" si="2"/>
        <v>1</v>
      </c>
    </row>
    <row r="52" spans="1:18" ht="20.100000000000001" customHeight="1">
      <c r="A52" s="18">
        <v>1</v>
      </c>
      <c r="B52" s="6">
        <v>11</v>
      </c>
      <c r="C52" s="141" t="s">
        <v>102</v>
      </c>
      <c r="D52" s="6">
        <v>1</v>
      </c>
      <c r="E52" s="6"/>
      <c r="F52" s="6">
        <f>D52</f>
        <v>1</v>
      </c>
      <c r="G52" s="6">
        <v>1</v>
      </c>
      <c r="H52" s="6"/>
      <c r="I52" s="6">
        <f>G52</f>
        <v>1</v>
      </c>
      <c r="J52" s="6">
        <v>0</v>
      </c>
      <c r="K52" s="6"/>
      <c r="L52" s="6">
        <f>J52</f>
        <v>0</v>
      </c>
      <c r="M52" s="6"/>
      <c r="N52" s="6"/>
      <c r="O52" s="6"/>
      <c r="P52" s="20">
        <f t="shared" si="5"/>
        <v>1</v>
      </c>
      <c r="Q52" s="6"/>
      <c r="R52" s="20">
        <f t="shared" si="2"/>
        <v>1</v>
      </c>
    </row>
    <row r="53" spans="1:18" ht="20.100000000000001" customHeight="1">
      <c r="A53" s="111"/>
      <c r="B53" s="6"/>
      <c r="C53" s="15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19"/>
      <c r="R53" s="103"/>
    </row>
    <row r="54" spans="1:18" ht="20.100000000000001" customHeight="1">
      <c r="A54" s="111"/>
      <c r="B54" s="6"/>
      <c r="C54" s="15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19"/>
      <c r="R54" s="103"/>
    </row>
    <row r="55" spans="1:18" ht="20.100000000000001" customHeight="1">
      <c r="A55" s="111"/>
      <c r="B55" s="6"/>
      <c r="C55" s="15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19"/>
      <c r="R55" s="103"/>
    </row>
    <row r="56" spans="1:18" ht="20.100000000000001" customHeight="1">
      <c r="A56" s="111"/>
      <c r="B56" s="6"/>
      <c r="C56" s="15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  <c r="Q56" s="19"/>
      <c r="R56" s="103"/>
    </row>
    <row r="57" spans="1:18" ht="20.100000000000001" customHeight="1">
      <c r="A57" s="111"/>
      <c r="B57" s="6"/>
      <c r="C57" s="15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  <c r="Q57" s="19"/>
      <c r="R57" s="103"/>
    </row>
    <row r="58" spans="1:18" ht="20.100000000000001" customHeight="1">
      <c r="A58" s="111"/>
      <c r="B58" s="6"/>
      <c r="C58" s="15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  <c r="Q58" s="19"/>
      <c r="R58" s="103"/>
    </row>
    <row r="59" spans="1:18" ht="20.100000000000001" customHeight="1">
      <c r="A59" s="111"/>
      <c r="B59" s="6"/>
      <c r="C59" s="15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/>
      <c r="Q59" s="19"/>
      <c r="R59" s="103"/>
    </row>
    <row r="60" spans="1:18" ht="20.100000000000001" customHeight="1">
      <c r="A60" s="111"/>
      <c r="B60" s="6"/>
      <c r="C60" s="15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  <c r="Q60" s="19"/>
      <c r="R60" s="103"/>
    </row>
    <row r="61" spans="1:18" ht="20.100000000000001" customHeight="1">
      <c r="A61" s="111"/>
      <c r="B61" s="6"/>
      <c r="C61" s="15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  <c r="Q61" s="19"/>
      <c r="R61" s="103"/>
    </row>
    <row r="62" spans="1:18" ht="20.100000000000001" customHeight="1">
      <c r="A62" s="111"/>
      <c r="B62" s="6"/>
      <c r="C62" s="15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0"/>
      <c r="Q62" s="19"/>
      <c r="R62" s="103"/>
    </row>
    <row r="63" spans="1:18" ht="20.100000000000001" customHeight="1">
      <c r="A63" s="111"/>
      <c r="B63" s="6"/>
      <c r="C63" s="15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19"/>
      <c r="R63" s="103"/>
    </row>
    <row r="64" spans="1:18" ht="20.100000000000001" customHeight="1">
      <c r="A64" s="111"/>
      <c r="B64" s="6"/>
      <c r="C64" s="15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  <c r="Q64" s="19"/>
      <c r="R64" s="103"/>
    </row>
    <row r="65" spans="1:18" ht="20.100000000000001" customHeight="1">
      <c r="A65" s="111"/>
      <c r="B65" s="6"/>
      <c r="C65" s="15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03"/>
    </row>
    <row r="66" spans="1:18" ht="20.100000000000001" customHeight="1">
      <c r="A66" s="111"/>
      <c r="B66" s="6"/>
      <c r="C66" s="15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  <c r="Q66" s="19"/>
      <c r="R66" s="103"/>
    </row>
    <row r="67" spans="1:18" ht="20.100000000000001" customHeight="1">
      <c r="A67" s="111"/>
      <c r="B67" s="6"/>
      <c r="C67" s="15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/>
      <c r="Q67" s="19"/>
      <c r="R67" s="103"/>
    </row>
    <row r="68" spans="1:18" ht="20.100000000000001" customHeight="1">
      <c r="A68" s="111"/>
      <c r="B68" s="6"/>
      <c r="C68" s="15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0"/>
      <c r="Q68" s="19"/>
      <c r="R68" s="103"/>
    </row>
    <row r="69" spans="1:18" ht="20.100000000000001" customHeight="1">
      <c r="A69" s="111"/>
      <c r="B69" s="6"/>
      <c r="C69" s="15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  <c r="Q69" s="19"/>
      <c r="R69" s="103"/>
    </row>
    <row r="70" spans="1:18" ht="26.25" customHeight="1">
      <c r="A70" s="111">
        <v>1</v>
      </c>
      <c r="B70" s="133">
        <v>5</v>
      </c>
      <c r="C70" s="131" t="s">
        <v>128</v>
      </c>
      <c r="D70" s="19">
        <v>1</v>
      </c>
      <c r="E70" s="19"/>
      <c r="F70" s="19">
        <f>SUM(D70:E70)</f>
        <v>1</v>
      </c>
      <c r="G70" s="19">
        <v>1</v>
      </c>
      <c r="H70" s="19"/>
      <c r="I70" s="19">
        <f t="shared" ref="I70:I71" si="15">G70+H70</f>
        <v>1</v>
      </c>
      <c r="J70" s="19">
        <v>0</v>
      </c>
      <c r="K70" s="19"/>
      <c r="L70" s="19">
        <f t="shared" ref="L70:L71" si="16">J70</f>
        <v>0</v>
      </c>
      <c r="M70" s="19"/>
      <c r="N70" s="19"/>
      <c r="O70" s="19"/>
      <c r="P70" s="20">
        <f t="shared" si="1"/>
        <v>1</v>
      </c>
      <c r="Q70" s="19"/>
      <c r="R70" s="103">
        <f t="shared" ref="R70:R71" si="17">SUM(P70:Q70)</f>
        <v>1</v>
      </c>
    </row>
    <row r="71" spans="1:18" ht="26.25" customHeight="1">
      <c r="A71" s="111">
        <v>2</v>
      </c>
      <c r="B71" s="134">
        <v>2</v>
      </c>
      <c r="C71" s="132" t="s">
        <v>13</v>
      </c>
      <c r="D71" s="19">
        <v>1</v>
      </c>
      <c r="E71" s="19"/>
      <c r="F71" s="19">
        <v>1</v>
      </c>
      <c r="G71" s="19">
        <v>1</v>
      </c>
      <c r="H71" s="19"/>
      <c r="I71" s="19">
        <f t="shared" si="15"/>
        <v>1</v>
      </c>
      <c r="J71" s="19">
        <v>0</v>
      </c>
      <c r="K71" s="19"/>
      <c r="L71" s="19">
        <f t="shared" si="16"/>
        <v>0</v>
      </c>
      <c r="M71" s="19"/>
      <c r="N71" s="19"/>
      <c r="O71" s="19"/>
      <c r="P71" s="20">
        <f t="shared" si="1"/>
        <v>1</v>
      </c>
      <c r="Q71" s="19"/>
      <c r="R71" s="103">
        <f t="shared" si="17"/>
        <v>1</v>
      </c>
    </row>
    <row r="72" spans="1:18" ht="23.1" customHeight="1">
      <c r="A72" s="113"/>
      <c r="B72" s="341" t="s">
        <v>14</v>
      </c>
      <c r="C72" s="341"/>
      <c r="D72" s="101">
        <f t="shared" ref="D72:R72" si="18">SUM(D13:D71)</f>
        <v>48</v>
      </c>
      <c r="E72" s="101">
        <f t="shared" si="18"/>
        <v>0</v>
      </c>
      <c r="F72" s="101">
        <f t="shared" si="18"/>
        <v>48</v>
      </c>
      <c r="G72" s="101">
        <f t="shared" si="18"/>
        <v>47</v>
      </c>
      <c r="H72" s="101">
        <f t="shared" si="18"/>
        <v>0</v>
      </c>
      <c r="I72" s="101">
        <f t="shared" si="18"/>
        <v>47</v>
      </c>
      <c r="J72" s="101">
        <f t="shared" si="18"/>
        <v>1</v>
      </c>
      <c r="K72" s="101">
        <f t="shared" si="18"/>
        <v>0</v>
      </c>
      <c r="L72" s="101">
        <f t="shared" si="18"/>
        <v>1</v>
      </c>
      <c r="M72" s="101">
        <f t="shared" si="18"/>
        <v>0</v>
      </c>
      <c r="N72" s="101">
        <f t="shared" si="18"/>
        <v>0</v>
      </c>
      <c r="O72" s="101">
        <f t="shared" si="18"/>
        <v>0</v>
      </c>
      <c r="P72" s="101">
        <f t="shared" si="18"/>
        <v>48</v>
      </c>
      <c r="Q72" s="101">
        <f t="shared" si="18"/>
        <v>0</v>
      </c>
      <c r="R72" s="104">
        <f t="shared" si="18"/>
        <v>48</v>
      </c>
    </row>
    <row r="73" spans="1:18" ht="24" customHeight="1">
      <c r="A73" s="233" t="s">
        <v>122</v>
      </c>
      <c r="B73" s="234"/>
      <c r="C73" s="234"/>
      <c r="D73" s="4"/>
      <c r="E73" s="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05"/>
    </row>
    <row r="75" spans="1:18" ht="19.5" customHeight="1" thickBot="1">
      <c r="A75" s="114">
        <v>1</v>
      </c>
      <c r="B75" s="11">
        <v>1</v>
      </c>
      <c r="C75" s="132" t="s">
        <v>13</v>
      </c>
      <c r="D75" s="20">
        <v>1</v>
      </c>
      <c r="E75" s="20"/>
      <c r="F75" s="20">
        <f t="shared" ref="F75" si="19">SUM(D75:E75)</f>
        <v>1</v>
      </c>
      <c r="G75" s="20">
        <v>1</v>
      </c>
      <c r="H75" s="20"/>
      <c r="I75" s="20">
        <f>SUM(G75:H75)</f>
        <v>1</v>
      </c>
      <c r="J75" s="20">
        <v>0</v>
      </c>
      <c r="K75" s="1"/>
      <c r="L75" s="20">
        <f t="shared" ref="L75" si="20">SUM(J75:K75)</f>
        <v>0</v>
      </c>
      <c r="M75" s="20"/>
      <c r="N75" s="20"/>
      <c r="O75" s="20">
        <f t="shared" ref="O75" si="21">SUM(M75:N75)</f>
        <v>0</v>
      </c>
      <c r="P75" s="20">
        <f t="shared" ref="P75" si="22">SUM(I75,L75)</f>
        <v>1</v>
      </c>
      <c r="Q75" s="20"/>
      <c r="R75" s="106">
        <f t="shared" ref="R75" si="23">SUM(P75:Q75)</f>
        <v>1</v>
      </c>
    </row>
    <row r="76" spans="1:18" ht="23.1" customHeight="1" thickBot="1">
      <c r="A76" s="82"/>
      <c r="B76" s="354" t="s">
        <v>14</v>
      </c>
      <c r="C76" s="355"/>
      <c r="D76" s="83">
        <f t="shared" ref="D76:R76" si="24">SUM(D14:D75)</f>
        <v>96</v>
      </c>
      <c r="E76" s="83">
        <f t="shared" si="24"/>
        <v>0</v>
      </c>
      <c r="F76" s="83">
        <f t="shared" si="24"/>
        <v>96</v>
      </c>
      <c r="G76" s="83">
        <f t="shared" si="24"/>
        <v>94</v>
      </c>
      <c r="H76" s="83">
        <f t="shared" si="24"/>
        <v>0</v>
      </c>
      <c r="I76" s="83">
        <f t="shared" si="24"/>
        <v>94</v>
      </c>
      <c r="J76" s="83">
        <f t="shared" si="24"/>
        <v>2</v>
      </c>
      <c r="K76" s="83">
        <f t="shared" si="24"/>
        <v>0</v>
      </c>
      <c r="L76" s="83">
        <f t="shared" si="24"/>
        <v>2</v>
      </c>
      <c r="M76" s="83">
        <f t="shared" si="24"/>
        <v>0</v>
      </c>
      <c r="N76" s="83">
        <f t="shared" si="24"/>
        <v>0</v>
      </c>
      <c r="O76" s="83">
        <f t="shared" si="24"/>
        <v>0</v>
      </c>
      <c r="P76" s="83">
        <f t="shared" si="24"/>
        <v>96</v>
      </c>
      <c r="Q76" s="83">
        <f t="shared" si="24"/>
        <v>0</v>
      </c>
      <c r="R76" s="84">
        <f t="shared" si="24"/>
        <v>96</v>
      </c>
    </row>
    <row r="77" spans="1:18" ht="24" customHeight="1">
      <c r="A77" s="235" t="s">
        <v>105</v>
      </c>
      <c r="B77" s="236"/>
      <c r="C77" s="237"/>
      <c r="D77" s="13"/>
      <c r="E77" s="1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07"/>
    </row>
    <row r="81" spans="1:18" ht="20.100000000000001" customHeight="1">
      <c r="A81" s="114">
        <v>8</v>
      </c>
      <c r="B81" s="6">
        <v>5</v>
      </c>
      <c r="C81" s="131" t="s">
        <v>97</v>
      </c>
      <c r="D81" s="20">
        <v>1</v>
      </c>
      <c r="E81" s="20"/>
      <c r="F81" s="20">
        <v>1</v>
      </c>
      <c r="G81" s="20">
        <v>1</v>
      </c>
      <c r="H81" s="20"/>
      <c r="I81" s="20">
        <f t="shared" ref="I81:I88" si="25">SUM(G81:H81)</f>
        <v>1</v>
      </c>
      <c r="J81" s="20">
        <f t="shared" ref="J81:J88" si="26">F81-I81</f>
        <v>0</v>
      </c>
      <c r="K81" s="20"/>
      <c r="L81" s="20">
        <f t="shared" ref="L81:L88" si="27">J81</f>
        <v>0</v>
      </c>
      <c r="M81" s="20"/>
      <c r="N81" s="20"/>
      <c r="O81" s="20">
        <f t="shared" ref="O81:O86" si="28">SUM(M81:N81)</f>
        <v>0</v>
      </c>
      <c r="P81" s="20">
        <f t="shared" ref="P81:P88" si="29">SUM(I81,L81)</f>
        <v>1</v>
      </c>
      <c r="Q81" s="20"/>
      <c r="R81" s="106">
        <f t="shared" ref="R81:R88" si="30">SUM(P81:Q81)</f>
        <v>1</v>
      </c>
    </row>
    <row r="82" spans="1:18" ht="20.100000000000001" customHeight="1">
      <c r="A82" s="114">
        <v>9</v>
      </c>
      <c r="B82" s="6">
        <v>5</v>
      </c>
      <c r="C82" s="131" t="s">
        <v>107</v>
      </c>
      <c r="D82" s="20">
        <v>1</v>
      </c>
      <c r="E82" s="20"/>
      <c r="F82" s="20">
        <f>SUM(D82:E82)</f>
        <v>1</v>
      </c>
      <c r="G82" s="20">
        <v>1</v>
      </c>
      <c r="H82" s="20"/>
      <c r="I82" s="20">
        <f t="shared" si="25"/>
        <v>1</v>
      </c>
      <c r="J82" s="20">
        <f t="shared" si="26"/>
        <v>0</v>
      </c>
      <c r="K82" s="20"/>
      <c r="L82" s="20">
        <f t="shared" si="27"/>
        <v>0</v>
      </c>
      <c r="M82" s="20"/>
      <c r="N82" s="20"/>
      <c r="O82" s="20">
        <f t="shared" si="28"/>
        <v>0</v>
      </c>
      <c r="P82" s="20">
        <f t="shared" si="29"/>
        <v>1</v>
      </c>
      <c r="Q82" s="20"/>
      <c r="R82" s="106">
        <f t="shared" si="30"/>
        <v>1</v>
      </c>
    </row>
    <row r="83" spans="1:18" ht="20.100000000000001" customHeight="1">
      <c r="A83" s="114">
        <v>10</v>
      </c>
      <c r="B83" s="6">
        <v>4</v>
      </c>
      <c r="C83" s="131" t="s">
        <v>12</v>
      </c>
      <c r="D83" s="20">
        <v>2</v>
      </c>
      <c r="E83" s="20"/>
      <c r="F83" s="20">
        <f t="shared" ref="F83:F88" si="31">SUM(D83:E83)</f>
        <v>2</v>
      </c>
      <c r="G83" s="20">
        <v>2</v>
      </c>
      <c r="H83" s="20"/>
      <c r="I83" s="20">
        <f t="shared" si="25"/>
        <v>2</v>
      </c>
      <c r="J83" s="20">
        <f t="shared" si="26"/>
        <v>0</v>
      </c>
      <c r="K83" s="20"/>
      <c r="L83" s="20">
        <f t="shared" si="27"/>
        <v>0</v>
      </c>
      <c r="M83" s="20"/>
      <c r="N83" s="20"/>
      <c r="O83" s="20">
        <f t="shared" si="28"/>
        <v>0</v>
      </c>
      <c r="P83" s="20">
        <f t="shared" si="29"/>
        <v>2</v>
      </c>
      <c r="Q83" s="20"/>
      <c r="R83" s="106">
        <f t="shared" si="30"/>
        <v>2</v>
      </c>
    </row>
    <row r="84" spans="1:18" ht="20.100000000000001" customHeight="1">
      <c r="A84" s="114">
        <v>11</v>
      </c>
      <c r="B84" s="6">
        <v>3</v>
      </c>
      <c r="C84" s="131" t="s">
        <v>13</v>
      </c>
      <c r="D84" s="20">
        <v>1</v>
      </c>
      <c r="E84" s="20"/>
      <c r="F84" s="20">
        <f t="shared" si="31"/>
        <v>1</v>
      </c>
      <c r="G84" s="20">
        <v>1</v>
      </c>
      <c r="H84" s="20"/>
      <c r="I84" s="20">
        <f t="shared" si="25"/>
        <v>1</v>
      </c>
      <c r="J84" s="20">
        <f t="shared" si="26"/>
        <v>0</v>
      </c>
      <c r="K84" s="20"/>
      <c r="L84" s="20">
        <f t="shared" si="27"/>
        <v>0</v>
      </c>
      <c r="M84" s="20"/>
      <c r="N84" s="20"/>
      <c r="O84" s="20">
        <f t="shared" si="28"/>
        <v>0</v>
      </c>
      <c r="P84" s="20">
        <f t="shared" si="29"/>
        <v>1</v>
      </c>
      <c r="Q84" s="20"/>
      <c r="R84" s="106">
        <f t="shared" si="30"/>
        <v>1</v>
      </c>
    </row>
    <row r="85" spans="1:18" ht="20.100000000000001" customHeight="1">
      <c r="A85" s="114">
        <v>12</v>
      </c>
      <c r="B85" s="135" t="s">
        <v>131</v>
      </c>
      <c r="C85" s="5" t="s">
        <v>19</v>
      </c>
      <c r="D85" s="20">
        <v>2</v>
      </c>
      <c r="E85" s="20"/>
      <c r="F85" s="20">
        <f t="shared" si="31"/>
        <v>2</v>
      </c>
      <c r="G85" s="20">
        <v>2</v>
      </c>
      <c r="H85" s="20"/>
      <c r="I85" s="20">
        <f t="shared" si="25"/>
        <v>2</v>
      </c>
      <c r="J85" s="20">
        <f t="shared" si="26"/>
        <v>0</v>
      </c>
      <c r="K85" s="20"/>
      <c r="L85" s="20">
        <f t="shared" si="27"/>
        <v>0</v>
      </c>
      <c r="M85" s="20"/>
      <c r="N85" s="20"/>
      <c r="O85" s="20">
        <f t="shared" si="28"/>
        <v>0</v>
      </c>
      <c r="P85" s="20">
        <f t="shared" si="29"/>
        <v>2</v>
      </c>
      <c r="Q85" s="20"/>
      <c r="R85" s="106">
        <f t="shared" si="30"/>
        <v>2</v>
      </c>
    </row>
    <row r="86" spans="1:18" ht="20.100000000000001" customHeight="1">
      <c r="A86" s="114">
        <v>13</v>
      </c>
      <c r="B86" s="135" t="s">
        <v>132</v>
      </c>
      <c r="C86" s="5" t="s">
        <v>108</v>
      </c>
      <c r="D86" s="20">
        <v>1</v>
      </c>
      <c r="E86" s="20"/>
      <c r="F86" s="20">
        <f t="shared" si="31"/>
        <v>1</v>
      </c>
      <c r="G86" s="20">
        <v>1</v>
      </c>
      <c r="H86" s="20"/>
      <c r="I86" s="20">
        <f t="shared" si="25"/>
        <v>1</v>
      </c>
      <c r="J86" s="20">
        <f t="shared" si="26"/>
        <v>0</v>
      </c>
      <c r="K86" s="20"/>
      <c r="L86" s="20">
        <f t="shared" si="27"/>
        <v>0</v>
      </c>
      <c r="M86" s="20"/>
      <c r="N86" s="20"/>
      <c r="O86" s="20">
        <f t="shared" si="28"/>
        <v>0</v>
      </c>
      <c r="P86" s="20">
        <f t="shared" si="29"/>
        <v>1</v>
      </c>
      <c r="Q86" s="20"/>
      <c r="R86" s="106">
        <f t="shared" si="30"/>
        <v>1</v>
      </c>
    </row>
    <row r="87" spans="1:18" ht="20.100000000000001" customHeight="1">
      <c r="A87" s="114"/>
      <c r="B87" s="135" t="s">
        <v>134</v>
      </c>
      <c r="C87" s="131" t="s">
        <v>98</v>
      </c>
      <c r="D87" s="20">
        <v>1</v>
      </c>
      <c r="E87" s="20"/>
      <c r="F87" s="20">
        <f t="shared" si="31"/>
        <v>1</v>
      </c>
      <c r="G87" s="20">
        <v>1</v>
      </c>
      <c r="H87" s="20"/>
      <c r="I87" s="20">
        <f t="shared" si="25"/>
        <v>1</v>
      </c>
      <c r="J87" s="20">
        <f t="shared" si="26"/>
        <v>0</v>
      </c>
      <c r="K87" s="20"/>
      <c r="L87" s="20">
        <f t="shared" si="27"/>
        <v>0</v>
      </c>
      <c r="M87" s="20"/>
      <c r="N87" s="20"/>
      <c r="O87" s="20"/>
      <c r="P87" s="20">
        <f t="shared" si="29"/>
        <v>1</v>
      </c>
      <c r="Q87" s="20"/>
      <c r="R87" s="106">
        <f t="shared" si="30"/>
        <v>1</v>
      </c>
    </row>
    <row r="88" spans="1:18" ht="20.100000000000001" customHeight="1">
      <c r="A88" s="114"/>
      <c r="B88" s="121" t="s">
        <v>45</v>
      </c>
      <c r="C88" s="132" t="s">
        <v>133</v>
      </c>
      <c r="D88" s="20">
        <v>1</v>
      </c>
      <c r="E88" s="20"/>
      <c r="F88" s="20">
        <f t="shared" si="31"/>
        <v>1</v>
      </c>
      <c r="G88" s="20">
        <v>1</v>
      </c>
      <c r="H88" s="20"/>
      <c r="I88" s="20">
        <f t="shared" si="25"/>
        <v>1</v>
      </c>
      <c r="J88" s="20">
        <f t="shared" si="26"/>
        <v>0</v>
      </c>
      <c r="K88" s="20"/>
      <c r="L88" s="20">
        <f t="shared" si="27"/>
        <v>0</v>
      </c>
      <c r="M88" s="20"/>
      <c r="N88" s="20"/>
      <c r="O88" s="20"/>
      <c r="P88" s="20">
        <f t="shared" si="29"/>
        <v>1</v>
      </c>
      <c r="Q88" s="20"/>
      <c r="R88" s="106">
        <f t="shared" si="30"/>
        <v>1</v>
      </c>
    </row>
    <row r="89" spans="1:18" ht="23.1" customHeight="1">
      <c r="A89" s="116"/>
      <c r="B89" s="350" t="s">
        <v>14</v>
      </c>
      <c r="C89" s="351"/>
      <c r="D89" s="23">
        <f t="shared" ref="D89:R89" si="32">SUM(D15:D88)</f>
        <v>201</v>
      </c>
      <c r="E89" s="23">
        <f t="shared" si="32"/>
        <v>0</v>
      </c>
      <c r="F89" s="23">
        <f t="shared" si="32"/>
        <v>201</v>
      </c>
      <c r="G89" s="23">
        <f t="shared" si="32"/>
        <v>197</v>
      </c>
      <c r="H89" s="23">
        <f t="shared" si="32"/>
        <v>0</v>
      </c>
      <c r="I89" s="23">
        <f t="shared" si="32"/>
        <v>197</v>
      </c>
      <c r="J89" s="23">
        <f t="shared" si="32"/>
        <v>4</v>
      </c>
      <c r="K89" s="23">
        <f t="shared" si="32"/>
        <v>0</v>
      </c>
      <c r="L89" s="23">
        <f t="shared" si="32"/>
        <v>4</v>
      </c>
      <c r="M89" s="23">
        <f t="shared" si="32"/>
        <v>0</v>
      </c>
      <c r="N89" s="23">
        <f t="shared" si="32"/>
        <v>0</v>
      </c>
      <c r="O89" s="23">
        <f t="shared" si="32"/>
        <v>0</v>
      </c>
      <c r="P89" s="23">
        <f t="shared" si="32"/>
        <v>201</v>
      </c>
      <c r="Q89" s="23">
        <f t="shared" si="32"/>
        <v>0</v>
      </c>
      <c r="R89" s="108">
        <f t="shared" si="32"/>
        <v>201</v>
      </c>
    </row>
    <row r="90" spans="1:18" ht="7.5" customHeight="1">
      <c r="A90" s="117"/>
      <c r="B90" s="15"/>
      <c r="C90" s="1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09"/>
    </row>
    <row r="91" spans="1:18" ht="29.25" customHeight="1">
      <c r="A91" s="235" t="s">
        <v>123</v>
      </c>
      <c r="B91" s="236"/>
      <c r="C91" s="237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07"/>
    </row>
    <row r="96" spans="1:18" ht="20.100000000000001" customHeight="1">
      <c r="A96" s="114">
        <v>10</v>
      </c>
      <c r="B96" s="6">
        <v>9</v>
      </c>
      <c r="C96" s="8" t="s">
        <v>139</v>
      </c>
      <c r="D96" s="21">
        <v>1</v>
      </c>
      <c r="E96" s="21"/>
      <c r="F96" s="20">
        <f t="shared" ref="F96:F99" si="33">SUM(D96:E96)</f>
        <v>1</v>
      </c>
      <c r="G96" s="21">
        <v>1</v>
      </c>
      <c r="H96" s="21"/>
      <c r="I96" s="20">
        <f t="shared" ref="I96:I99" si="34">SUM(G96:H96)</f>
        <v>1</v>
      </c>
      <c r="J96" s="20">
        <f t="shared" ref="J96:J99" si="35">F96-I96</f>
        <v>0</v>
      </c>
      <c r="K96" s="21"/>
      <c r="L96" s="20">
        <f t="shared" ref="L96:L99" si="36">J96</f>
        <v>0</v>
      </c>
      <c r="M96" s="21"/>
      <c r="N96" s="21"/>
      <c r="O96" s="20">
        <f t="shared" ref="O96:O99" si="37">SUM(M96:N96)</f>
        <v>0</v>
      </c>
      <c r="P96" s="20">
        <f t="shared" ref="P96:P99" si="38">SUM(I96,L96)</f>
        <v>1</v>
      </c>
      <c r="Q96" s="21"/>
      <c r="R96" s="106">
        <f t="shared" ref="R96:R99" si="39">SUM(P96:Q96)</f>
        <v>1</v>
      </c>
    </row>
    <row r="97" spans="1:18" ht="20.100000000000001" customHeight="1">
      <c r="A97" s="114">
        <v>11</v>
      </c>
      <c r="B97" s="6">
        <v>7</v>
      </c>
      <c r="C97" s="131" t="s">
        <v>140</v>
      </c>
      <c r="D97" s="21">
        <v>2</v>
      </c>
      <c r="E97" s="21"/>
      <c r="F97" s="20">
        <f t="shared" si="33"/>
        <v>2</v>
      </c>
      <c r="G97" s="21">
        <v>2</v>
      </c>
      <c r="H97" s="21"/>
      <c r="I97" s="20">
        <f t="shared" si="34"/>
        <v>2</v>
      </c>
      <c r="J97" s="20">
        <f t="shared" si="35"/>
        <v>0</v>
      </c>
      <c r="K97" s="21"/>
      <c r="L97" s="20">
        <f t="shared" si="36"/>
        <v>0</v>
      </c>
      <c r="M97" s="21"/>
      <c r="N97" s="21"/>
      <c r="O97" s="20">
        <f t="shared" si="37"/>
        <v>0</v>
      </c>
      <c r="P97" s="20">
        <f t="shared" si="38"/>
        <v>2</v>
      </c>
      <c r="Q97" s="21"/>
      <c r="R97" s="106">
        <f t="shared" si="39"/>
        <v>2</v>
      </c>
    </row>
    <row r="98" spans="1:18" ht="20.100000000000001" customHeight="1">
      <c r="A98" s="114">
        <v>12</v>
      </c>
      <c r="B98" s="6">
        <v>1</v>
      </c>
      <c r="C98" s="131" t="s">
        <v>13</v>
      </c>
      <c r="D98" s="20">
        <v>2</v>
      </c>
      <c r="E98" s="20"/>
      <c r="F98" s="20">
        <f t="shared" si="33"/>
        <v>2</v>
      </c>
      <c r="G98" s="20">
        <v>2</v>
      </c>
      <c r="H98" s="20"/>
      <c r="I98" s="20">
        <f t="shared" si="34"/>
        <v>2</v>
      </c>
      <c r="J98" s="20">
        <f t="shared" si="35"/>
        <v>0</v>
      </c>
      <c r="K98" s="20"/>
      <c r="L98" s="20">
        <f t="shared" si="36"/>
        <v>0</v>
      </c>
      <c r="M98" s="20"/>
      <c r="N98" s="20"/>
      <c r="O98" s="20">
        <f t="shared" si="37"/>
        <v>0</v>
      </c>
      <c r="P98" s="20">
        <f t="shared" si="38"/>
        <v>2</v>
      </c>
      <c r="Q98" s="20"/>
      <c r="R98" s="106">
        <f t="shared" si="39"/>
        <v>2</v>
      </c>
    </row>
    <row r="99" spans="1:18" ht="20.100000000000001" customHeight="1">
      <c r="A99" s="114">
        <v>13</v>
      </c>
      <c r="B99" s="7" t="s">
        <v>45</v>
      </c>
      <c r="C99" s="132" t="s">
        <v>141</v>
      </c>
      <c r="D99" s="20">
        <v>1</v>
      </c>
      <c r="E99" s="20"/>
      <c r="F99" s="20">
        <f t="shared" si="33"/>
        <v>1</v>
      </c>
      <c r="G99" s="20">
        <v>1</v>
      </c>
      <c r="H99" s="20"/>
      <c r="I99" s="20">
        <f t="shared" si="34"/>
        <v>1</v>
      </c>
      <c r="J99" s="20">
        <f t="shared" si="35"/>
        <v>0</v>
      </c>
      <c r="K99" s="20"/>
      <c r="L99" s="20">
        <f t="shared" si="36"/>
        <v>0</v>
      </c>
      <c r="M99" s="20"/>
      <c r="N99" s="20"/>
      <c r="O99" s="20">
        <f t="shared" si="37"/>
        <v>0</v>
      </c>
      <c r="P99" s="20">
        <f t="shared" si="38"/>
        <v>1</v>
      </c>
      <c r="Q99" s="20"/>
      <c r="R99" s="106">
        <f t="shared" si="39"/>
        <v>1</v>
      </c>
    </row>
    <row r="100" spans="1:18" ht="23.1" customHeight="1">
      <c r="A100" s="114"/>
      <c r="B100" s="350" t="s">
        <v>14</v>
      </c>
      <c r="C100" s="351"/>
      <c r="D100" s="23">
        <f t="shared" ref="D100:R100" si="40">SUM(D16:D99)</f>
        <v>407</v>
      </c>
      <c r="E100" s="23">
        <f t="shared" si="40"/>
        <v>0</v>
      </c>
      <c r="F100" s="23">
        <f t="shared" si="40"/>
        <v>407</v>
      </c>
      <c r="G100" s="23">
        <f t="shared" si="40"/>
        <v>399</v>
      </c>
      <c r="H100" s="23">
        <f t="shared" si="40"/>
        <v>0</v>
      </c>
      <c r="I100" s="23">
        <f t="shared" si="40"/>
        <v>399</v>
      </c>
      <c r="J100" s="23">
        <f t="shared" si="40"/>
        <v>8</v>
      </c>
      <c r="K100" s="23">
        <f t="shared" si="40"/>
        <v>0</v>
      </c>
      <c r="L100" s="23">
        <f t="shared" si="40"/>
        <v>8</v>
      </c>
      <c r="M100" s="23">
        <f t="shared" si="40"/>
        <v>0</v>
      </c>
      <c r="N100" s="23">
        <f t="shared" si="40"/>
        <v>0</v>
      </c>
      <c r="O100" s="23">
        <f t="shared" si="40"/>
        <v>0</v>
      </c>
      <c r="P100" s="23">
        <f t="shared" si="40"/>
        <v>407</v>
      </c>
      <c r="Q100" s="23">
        <f t="shared" si="40"/>
        <v>0</v>
      </c>
      <c r="R100" s="108">
        <f t="shared" si="40"/>
        <v>407</v>
      </c>
    </row>
    <row r="101" spans="1:18" ht="24" customHeight="1">
      <c r="A101" s="228" t="s">
        <v>124</v>
      </c>
      <c r="B101" s="229"/>
      <c r="C101" s="23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05"/>
    </row>
    <row r="102" spans="1:18" ht="20.100000000000001" customHeight="1">
      <c r="A102" s="6">
        <v>6</v>
      </c>
      <c r="B102" s="6">
        <v>7</v>
      </c>
      <c r="C102" s="5" t="s">
        <v>144</v>
      </c>
      <c r="D102" s="19">
        <v>2</v>
      </c>
      <c r="E102" s="19"/>
      <c r="F102" s="19">
        <f t="shared" ref="F102:F105" si="41">SUM(D102:E102)</f>
        <v>2</v>
      </c>
      <c r="G102" s="19">
        <v>2</v>
      </c>
      <c r="H102" s="19"/>
      <c r="I102" s="19">
        <f t="shared" ref="I102:I107" si="42">SUM(G102:H102)</f>
        <v>2</v>
      </c>
      <c r="J102" s="19">
        <f t="shared" ref="J102:J107" si="43">F102-I102</f>
        <v>0</v>
      </c>
      <c r="K102" s="19"/>
      <c r="L102" s="19">
        <f t="shared" ref="L102:L107" si="44">J102</f>
        <v>0</v>
      </c>
      <c r="M102" s="19"/>
      <c r="N102" s="19"/>
      <c r="O102" s="19">
        <f t="shared" ref="O102:O107" si="45">SUM(M102:N102)</f>
        <v>0</v>
      </c>
      <c r="P102" s="19">
        <f t="shared" ref="P102:P107" si="46">SUM(I102,L102)</f>
        <v>2</v>
      </c>
      <c r="Q102" s="19"/>
      <c r="R102" s="103">
        <f t="shared" ref="R102:R107" si="47">SUM(P102:Q102)</f>
        <v>2</v>
      </c>
    </row>
    <row r="104" spans="1:18" ht="26.25" customHeight="1">
      <c r="A104" s="6">
        <v>8</v>
      </c>
      <c r="B104" s="6">
        <v>4</v>
      </c>
      <c r="C104" s="5" t="s">
        <v>146</v>
      </c>
      <c r="D104" s="19">
        <v>1</v>
      </c>
      <c r="E104" s="19"/>
      <c r="F104" s="19">
        <f t="shared" si="41"/>
        <v>1</v>
      </c>
      <c r="G104" s="19">
        <v>1</v>
      </c>
      <c r="H104" s="19"/>
      <c r="I104" s="19">
        <f t="shared" si="42"/>
        <v>1</v>
      </c>
      <c r="J104" s="19">
        <f t="shared" si="43"/>
        <v>0</v>
      </c>
      <c r="K104" s="19"/>
      <c r="L104" s="19">
        <f t="shared" si="44"/>
        <v>0</v>
      </c>
      <c r="M104" s="19"/>
      <c r="N104" s="19"/>
      <c r="O104" s="19">
        <f t="shared" si="45"/>
        <v>0</v>
      </c>
      <c r="P104" s="19">
        <f t="shared" si="46"/>
        <v>1</v>
      </c>
      <c r="Q104" s="19"/>
      <c r="R104" s="103">
        <f t="shared" si="47"/>
        <v>1</v>
      </c>
    </row>
    <row r="105" spans="1:18" ht="20.100000000000001" customHeight="1">
      <c r="A105" s="6">
        <v>9</v>
      </c>
      <c r="B105" s="6">
        <v>4</v>
      </c>
      <c r="C105" s="8" t="s">
        <v>12</v>
      </c>
      <c r="D105" s="19">
        <v>1</v>
      </c>
      <c r="E105" s="19"/>
      <c r="F105" s="19">
        <f t="shared" si="41"/>
        <v>1</v>
      </c>
      <c r="G105" s="19">
        <v>1</v>
      </c>
      <c r="H105" s="19"/>
      <c r="I105" s="19">
        <f t="shared" si="42"/>
        <v>1</v>
      </c>
      <c r="J105" s="19">
        <f t="shared" si="43"/>
        <v>0</v>
      </c>
      <c r="K105" s="19"/>
      <c r="L105" s="19">
        <f t="shared" si="44"/>
        <v>0</v>
      </c>
      <c r="M105" s="19"/>
      <c r="N105" s="19"/>
      <c r="O105" s="19">
        <f t="shared" si="45"/>
        <v>0</v>
      </c>
      <c r="P105" s="19">
        <f t="shared" si="46"/>
        <v>1</v>
      </c>
      <c r="Q105" s="19"/>
      <c r="R105" s="103">
        <f t="shared" si="47"/>
        <v>1</v>
      </c>
    </row>
    <row r="106" spans="1:18" ht="20.100000000000001" customHeight="1">
      <c r="A106" s="6">
        <v>10</v>
      </c>
      <c r="B106" s="6">
        <v>2</v>
      </c>
      <c r="C106" s="8" t="s">
        <v>13</v>
      </c>
      <c r="D106" s="19">
        <v>1</v>
      </c>
      <c r="E106" s="19"/>
      <c r="F106" s="19">
        <f>SUM(D106:E106)</f>
        <v>1</v>
      </c>
      <c r="G106" s="19">
        <v>1</v>
      </c>
      <c r="H106" s="19"/>
      <c r="I106" s="19">
        <f t="shared" si="42"/>
        <v>1</v>
      </c>
      <c r="J106" s="19">
        <f t="shared" si="43"/>
        <v>0</v>
      </c>
      <c r="K106" s="19"/>
      <c r="L106" s="19">
        <f t="shared" si="44"/>
        <v>0</v>
      </c>
      <c r="M106" s="19"/>
      <c r="N106" s="19"/>
      <c r="O106" s="19">
        <f t="shared" si="45"/>
        <v>0</v>
      </c>
      <c r="P106" s="19">
        <f t="shared" si="46"/>
        <v>1</v>
      </c>
      <c r="Q106" s="19"/>
      <c r="R106" s="103">
        <f t="shared" si="47"/>
        <v>1</v>
      </c>
    </row>
    <row r="107" spans="1:18" ht="20.100000000000001" customHeight="1">
      <c r="A107" s="6">
        <v>11</v>
      </c>
      <c r="B107" s="136" t="s">
        <v>109</v>
      </c>
      <c r="C107" s="28" t="s">
        <v>147</v>
      </c>
      <c r="D107" s="19">
        <v>5</v>
      </c>
      <c r="E107" s="19"/>
      <c r="F107" s="19">
        <f>SUM(D107:E107)</f>
        <v>5</v>
      </c>
      <c r="G107" s="19">
        <v>5</v>
      </c>
      <c r="H107" s="19"/>
      <c r="I107" s="19">
        <f t="shared" si="42"/>
        <v>5</v>
      </c>
      <c r="J107" s="19">
        <f t="shared" si="43"/>
        <v>0</v>
      </c>
      <c r="K107" s="19"/>
      <c r="L107" s="19">
        <f t="shared" si="44"/>
        <v>0</v>
      </c>
      <c r="M107" s="19"/>
      <c r="N107" s="19"/>
      <c r="O107" s="19">
        <f t="shared" si="45"/>
        <v>0</v>
      </c>
      <c r="P107" s="19">
        <f t="shared" si="46"/>
        <v>5</v>
      </c>
      <c r="Q107" s="19"/>
      <c r="R107" s="103">
        <f t="shared" si="47"/>
        <v>5</v>
      </c>
    </row>
    <row r="108" spans="1:18" ht="23.1" customHeight="1">
      <c r="A108" s="116"/>
      <c r="B108" s="350" t="s">
        <v>14</v>
      </c>
      <c r="C108" s="351"/>
      <c r="D108" s="23">
        <f t="shared" ref="D108:R108" si="48">SUM(D17:D107)</f>
        <v>823</v>
      </c>
      <c r="E108" s="23">
        <f t="shared" si="48"/>
        <v>0</v>
      </c>
      <c r="F108" s="23">
        <f t="shared" si="48"/>
        <v>823</v>
      </c>
      <c r="G108" s="23">
        <f t="shared" si="48"/>
        <v>807</v>
      </c>
      <c r="H108" s="23">
        <f t="shared" si="48"/>
        <v>0</v>
      </c>
      <c r="I108" s="23">
        <f t="shared" si="48"/>
        <v>807</v>
      </c>
      <c r="J108" s="23">
        <f t="shared" si="48"/>
        <v>16</v>
      </c>
      <c r="K108" s="23">
        <f t="shared" si="48"/>
        <v>0</v>
      </c>
      <c r="L108" s="23">
        <f t="shared" si="48"/>
        <v>16</v>
      </c>
      <c r="M108" s="23">
        <f t="shared" si="48"/>
        <v>0</v>
      </c>
      <c r="N108" s="23">
        <f t="shared" si="48"/>
        <v>0</v>
      </c>
      <c r="O108" s="23">
        <f t="shared" si="48"/>
        <v>0</v>
      </c>
      <c r="P108" s="23">
        <f t="shared" si="48"/>
        <v>823</v>
      </c>
      <c r="Q108" s="23">
        <f t="shared" si="48"/>
        <v>0</v>
      </c>
      <c r="R108" s="108">
        <f t="shared" si="48"/>
        <v>823</v>
      </c>
    </row>
    <row r="109" spans="1:18" ht="24" customHeight="1">
      <c r="A109" s="233" t="s">
        <v>125</v>
      </c>
      <c r="B109" s="234"/>
      <c r="C109" s="23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05"/>
    </row>
    <row r="114" spans="1:18" ht="20.100000000000001" customHeight="1">
      <c r="A114" s="115">
        <v>7</v>
      </c>
      <c r="B114" s="7">
        <v>1</v>
      </c>
      <c r="C114" s="36" t="s">
        <v>13</v>
      </c>
      <c r="D114" s="20">
        <v>1</v>
      </c>
      <c r="E114" s="20"/>
      <c r="F114" s="20">
        <f t="shared" ref="F114" si="49">SUM(D114:E114)</f>
        <v>1</v>
      </c>
      <c r="G114" s="20">
        <v>1</v>
      </c>
      <c r="H114" s="20"/>
      <c r="I114" s="20">
        <f t="shared" ref="I114" si="50">SUM(G114:H114)</f>
        <v>1</v>
      </c>
      <c r="J114" s="20"/>
      <c r="K114" s="20"/>
      <c r="L114" s="20">
        <f t="shared" ref="L114" si="51">SUM(J114:K114)</f>
        <v>0</v>
      </c>
      <c r="M114" s="20"/>
      <c r="N114" s="20"/>
      <c r="O114" s="20">
        <f t="shared" ref="O114" si="52">SUM(M114:N114)</f>
        <v>0</v>
      </c>
      <c r="P114" s="20">
        <f t="shared" ref="P114" si="53">SUM(I114,L114)</f>
        <v>1</v>
      </c>
      <c r="Q114" s="20"/>
      <c r="R114" s="106">
        <f t="shared" ref="R114" si="54">SUM(P114:Q114)</f>
        <v>1</v>
      </c>
    </row>
    <row r="115" spans="1:18" ht="23.1" customHeight="1">
      <c r="A115" s="116"/>
      <c r="B115" s="352" t="s">
        <v>14</v>
      </c>
      <c r="C115" s="353"/>
      <c r="D115" s="24">
        <f t="shared" ref="D115:R115" si="55">SUM(D18:D114)</f>
        <v>1646</v>
      </c>
      <c r="E115" s="24">
        <f t="shared" si="55"/>
        <v>0</v>
      </c>
      <c r="F115" s="24">
        <f t="shared" si="55"/>
        <v>1646</v>
      </c>
      <c r="G115" s="24">
        <f t="shared" si="55"/>
        <v>1615</v>
      </c>
      <c r="H115" s="24">
        <f t="shared" si="55"/>
        <v>0</v>
      </c>
      <c r="I115" s="24">
        <f t="shared" si="55"/>
        <v>1615</v>
      </c>
      <c r="J115" s="24">
        <f t="shared" si="55"/>
        <v>31</v>
      </c>
      <c r="K115" s="24">
        <f t="shared" si="55"/>
        <v>0</v>
      </c>
      <c r="L115" s="24">
        <f t="shared" si="55"/>
        <v>31</v>
      </c>
      <c r="M115" s="24">
        <f t="shared" si="55"/>
        <v>0</v>
      </c>
      <c r="N115" s="24">
        <f t="shared" si="55"/>
        <v>0</v>
      </c>
      <c r="O115" s="24">
        <f t="shared" si="55"/>
        <v>0</v>
      </c>
      <c r="P115" s="24">
        <f t="shared" si="55"/>
        <v>1646</v>
      </c>
      <c r="Q115" s="24">
        <f t="shared" si="55"/>
        <v>0</v>
      </c>
      <c r="R115" s="110">
        <f t="shared" si="55"/>
        <v>1646</v>
      </c>
    </row>
    <row r="116" spans="1:18" ht="24" customHeight="1">
      <c r="A116" s="233" t="s">
        <v>126</v>
      </c>
      <c r="B116" s="234"/>
      <c r="C116" s="23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05"/>
    </row>
    <row r="119" spans="1:18" ht="18" customHeight="1">
      <c r="A119" s="114">
        <v>10</v>
      </c>
      <c r="B119" s="6">
        <v>9</v>
      </c>
      <c r="C119" s="141" t="s">
        <v>101</v>
      </c>
      <c r="D119" s="20">
        <v>1</v>
      </c>
      <c r="E119" s="20"/>
      <c r="F119" s="20">
        <f t="shared" ref="F119:F121" si="56">SUM(D119:E119)</f>
        <v>1</v>
      </c>
      <c r="G119" s="20">
        <v>1</v>
      </c>
      <c r="H119" s="20"/>
      <c r="I119" s="20">
        <f t="shared" ref="I119:I122" si="57">SUM(G119:H119)</f>
        <v>1</v>
      </c>
      <c r="J119" s="20">
        <f t="shared" ref="J119:J122" si="58">F119-I119</f>
        <v>0</v>
      </c>
      <c r="K119" s="20"/>
      <c r="L119" s="20">
        <f t="shared" ref="L119:L122" si="59">J119</f>
        <v>0</v>
      </c>
      <c r="M119" s="20"/>
      <c r="N119" s="20"/>
      <c r="O119" s="20">
        <f t="shared" ref="O119:O121" si="60">SUM(M119:N119)</f>
        <v>0</v>
      </c>
      <c r="P119" s="20">
        <f t="shared" ref="P119:P121" si="61">SUM(I119,L119)</f>
        <v>1</v>
      </c>
      <c r="Q119" s="20"/>
      <c r="R119" s="106">
        <f t="shared" ref="R119:R121" si="62">SUM(P119:Q119)</f>
        <v>1</v>
      </c>
    </row>
    <row r="120" spans="1:18" ht="18" customHeight="1">
      <c r="A120" s="114">
        <v>11</v>
      </c>
      <c r="B120" s="6">
        <v>5</v>
      </c>
      <c r="C120" s="38" t="s">
        <v>13</v>
      </c>
      <c r="D120" s="20">
        <v>1</v>
      </c>
      <c r="E120" s="20"/>
      <c r="F120" s="20">
        <f t="shared" si="56"/>
        <v>1</v>
      </c>
      <c r="G120" s="20">
        <v>1</v>
      </c>
      <c r="H120" s="20"/>
      <c r="I120" s="20">
        <f t="shared" si="57"/>
        <v>1</v>
      </c>
      <c r="J120" s="20">
        <f t="shared" si="58"/>
        <v>0</v>
      </c>
      <c r="K120" s="20"/>
      <c r="L120" s="20">
        <f t="shared" si="59"/>
        <v>0</v>
      </c>
      <c r="M120" s="20"/>
      <c r="N120" s="20"/>
      <c r="O120" s="20">
        <f t="shared" si="60"/>
        <v>0</v>
      </c>
      <c r="P120" s="20">
        <f t="shared" si="61"/>
        <v>1</v>
      </c>
      <c r="Q120" s="20"/>
      <c r="R120" s="106">
        <f t="shared" si="62"/>
        <v>1</v>
      </c>
    </row>
    <row r="121" spans="1:18" ht="18" customHeight="1">
      <c r="A121" s="114">
        <v>12</v>
      </c>
      <c r="B121" s="6">
        <v>4</v>
      </c>
      <c r="C121" s="141" t="s">
        <v>12</v>
      </c>
      <c r="D121" s="22">
        <v>1</v>
      </c>
      <c r="E121" s="22"/>
      <c r="F121" s="20">
        <f t="shared" si="56"/>
        <v>1</v>
      </c>
      <c r="G121" s="22">
        <v>1</v>
      </c>
      <c r="H121" s="22"/>
      <c r="I121" s="20">
        <f t="shared" si="57"/>
        <v>1</v>
      </c>
      <c r="J121" s="20">
        <f t="shared" si="58"/>
        <v>0</v>
      </c>
      <c r="K121" s="22"/>
      <c r="L121" s="20">
        <f t="shared" si="59"/>
        <v>0</v>
      </c>
      <c r="M121" s="22"/>
      <c r="N121" s="22"/>
      <c r="O121" s="20">
        <f t="shared" si="60"/>
        <v>0</v>
      </c>
      <c r="P121" s="20">
        <f t="shared" si="61"/>
        <v>1</v>
      </c>
      <c r="Q121" s="22"/>
      <c r="R121" s="106">
        <f t="shared" si="62"/>
        <v>1</v>
      </c>
    </row>
    <row r="122" spans="1:18" ht="18" customHeight="1">
      <c r="A122" s="114">
        <v>13</v>
      </c>
      <c r="B122" s="135" t="s">
        <v>153</v>
      </c>
      <c r="C122" s="5" t="s">
        <v>13</v>
      </c>
      <c r="D122" s="21">
        <v>2</v>
      </c>
      <c r="E122" s="21"/>
      <c r="F122" s="20">
        <f>SUM(D122:E122)</f>
        <v>2</v>
      </c>
      <c r="G122" s="21">
        <v>2</v>
      </c>
      <c r="H122" s="21"/>
      <c r="I122" s="20">
        <f t="shared" si="57"/>
        <v>2</v>
      </c>
      <c r="J122" s="20">
        <f t="shared" si="58"/>
        <v>0</v>
      </c>
      <c r="K122" s="21"/>
      <c r="L122" s="20">
        <f t="shared" si="59"/>
        <v>0</v>
      </c>
      <c r="M122" s="21"/>
      <c r="N122" s="21"/>
      <c r="O122" s="20">
        <f>SUM(M122:N122)</f>
        <v>0</v>
      </c>
      <c r="P122" s="20">
        <f>SUM(I122,L122)</f>
        <v>2</v>
      </c>
      <c r="Q122" s="21"/>
      <c r="R122" s="106">
        <f>SUM(P122:Q122)</f>
        <v>2</v>
      </c>
    </row>
    <row r="123" spans="1:18" ht="18" customHeight="1" thickBot="1">
      <c r="A123" s="342" t="s">
        <v>14</v>
      </c>
      <c r="B123" s="343"/>
      <c r="C123" s="344"/>
      <c r="D123" s="24">
        <f t="shared" ref="D123:R123" si="63">SUM(D19:D122)</f>
        <v>3296</v>
      </c>
      <c r="E123" s="24">
        <f t="shared" si="63"/>
        <v>0</v>
      </c>
      <c r="F123" s="24">
        <f t="shared" si="63"/>
        <v>3296</v>
      </c>
      <c r="G123" s="24">
        <f t="shared" si="63"/>
        <v>3234</v>
      </c>
      <c r="H123" s="24">
        <f t="shared" si="63"/>
        <v>0</v>
      </c>
      <c r="I123" s="24">
        <f t="shared" si="63"/>
        <v>3234</v>
      </c>
      <c r="J123" s="24">
        <f t="shared" si="63"/>
        <v>62</v>
      </c>
      <c r="K123" s="24">
        <f t="shared" si="63"/>
        <v>0</v>
      </c>
      <c r="L123" s="24">
        <f t="shared" si="63"/>
        <v>62</v>
      </c>
      <c r="M123" s="24">
        <f t="shared" si="63"/>
        <v>0</v>
      </c>
      <c r="N123" s="24">
        <f t="shared" si="63"/>
        <v>0</v>
      </c>
      <c r="O123" s="24">
        <f t="shared" si="63"/>
        <v>0</v>
      </c>
      <c r="P123" s="24">
        <f t="shared" si="63"/>
        <v>3296</v>
      </c>
      <c r="Q123" s="24">
        <f t="shared" si="63"/>
        <v>0</v>
      </c>
      <c r="R123" s="110">
        <f t="shared" si="63"/>
        <v>3296</v>
      </c>
    </row>
    <row r="124" spans="1:18" ht="21.75" customHeight="1" thickBot="1">
      <c r="A124" s="347" t="s">
        <v>154</v>
      </c>
      <c r="B124" s="348"/>
      <c r="C124" s="349"/>
    </row>
    <row r="126" spans="1:18" ht="20.100000000000001" customHeight="1">
      <c r="A126" s="6">
        <v>2</v>
      </c>
      <c r="B126" s="6">
        <v>9</v>
      </c>
      <c r="C126" s="141" t="s">
        <v>155</v>
      </c>
      <c r="D126" s="6">
        <v>1</v>
      </c>
      <c r="E126" s="6"/>
      <c r="F126" s="6">
        <f t="shared" ref="F126:F163" si="64">D126</f>
        <v>1</v>
      </c>
      <c r="G126" s="6">
        <v>1</v>
      </c>
      <c r="H126" s="6"/>
      <c r="I126" s="6">
        <f t="shared" ref="I126:I163" si="65">G126</f>
        <v>1</v>
      </c>
      <c r="J126" s="6">
        <v>0</v>
      </c>
      <c r="K126" s="6"/>
      <c r="L126" s="6">
        <f>J126</f>
        <v>0</v>
      </c>
      <c r="M126" s="6"/>
      <c r="N126" s="6"/>
      <c r="O126" s="6"/>
      <c r="P126" s="20">
        <f t="shared" ref="P126:P163" si="66">SUM(I126,L126)</f>
        <v>1</v>
      </c>
      <c r="Q126" s="6"/>
      <c r="R126" s="20">
        <f t="shared" ref="R126:R163" si="67">SUM(P126:Q126)</f>
        <v>1</v>
      </c>
    </row>
    <row r="127" spans="1:18" ht="20.100000000000001" customHeight="1">
      <c r="A127" s="6">
        <v>3</v>
      </c>
      <c r="B127" s="6">
        <v>5</v>
      </c>
      <c r="C127" s="141" t="s">
        <v>68</v>
      </c>
      <c r="D127" s="6">
        <v>3</v>
      </c>
      <c r="E127" s="6"/>
      <c r="F127" s="6">
        <f t="shared" si="64"/>
        <v>3</v>
      </c>
      <c r="G127" s="6">
        <v>3</v>
      </c>
      <c r="H127" s="6"/>
      <c r="I127" s="6">
        <f t="shared" si="65"/>
        <v>3</v>
      </c>
      <c r="J127" s="6">
        <v>0</v>
      </c>
      <c r="K127" s="6"/>
      <c r="L127" s="6">
        <f t="shared" ref="L127:L163" si="68">J127</f>
        <v>0</v>
      </c>
      <c r="M127" s="6"/>
      <c r="N127" s="6"/>
      <c r="O127" s="6"/>
      <c r="P127" s="20">
        <f t="shared" si="66"/>
        <v>3</v>
      </c>
      <c r="Q127" s="6"/>
      <c r="R127" s="20">
        <f t="shared" si="67"/>
        <v>3</v>
      </c>
    </row>
    <row r="128" spans="1:18" ht="20.100000000000001" customHeight="1">
      <c r="A128" s="6">
        <v>4</v>
      </c>
      <c r="B128" s="7">
        <v>3</v>
      </c>
      <c r="C128" s="142" t="s">
        <v>103</v>
      </c>
      <c r="D128" s="6">
        <v>1</v>
      </c>
      <c r="E128" s="6"/>
      <c r="F128" s="6">
        <f t="shared" si="64"/>
        <v>1</v>
      </c>
      <c r="G128" s="6">
        <v>1</v>
      </c>
      <c r="H128" s="6"/>
      <c r="I128" s="6">
        <f>G128</f>
        <v>1</v>
      </c>
      <c r="J128" s="6"/>
      <c r="K128" s="6"/>
      <c r="L128" s="6">
        <f t="shared" si="68"/>
        <v>0</v>
      </c>
      <c r="M128" s="6"/>
      <c r="N128" s="6"/>
      <c r="O128" s="6"/>
      <c r="P128" s="20">
        <f t="shared" si="66"/>
        <v>1</v>
      </c>
      <c r="Q128" s="6"/>
      <c r="R128" s="20">
        <f t="shared" si="67"/>
        <v>1</v>
      </c>
    </row>
    <row r="129" spans="1:18" ht="20.100000000000001" customHeight="1" thickBot="1">
      <c r="A129" s="342" t="s">
        <v>14</v>
      </c>
      <c r="B129" s="343"/>
      <c r="C129" s="344"/>
      <c r="D129" s="24">
        <f t="shared" ref="D129:R129" si="69">SUM(D52:D128)</f>
        <v>6558</v>
      </c>
      <c r="E129" s="24">
        <f t="shared" si="69"/>
        <v>0</v>
      </c>
      <c r="F129" s="24">
        <f t="shared" si="69"/>
        <v>6558</v>
      </c>
      <c r="G129" s="24">
        <f t="shared" si="69"/>
        <v>6434</v>
      </c>
      <c r="H129" s="24">
        <f t="shared" si="69"/>
        <v>0</v>
      </c>
      <c r="I129" s="24">
        <f t="shared" si="69"/>
        <v>6434</v>
      </c>
      <c r="J129" s="24">
        <f t="shared" si="69"/>
        <v>124</v>
      </c>
      <c r="K129" s="24">
        <f t="shared" si="69"/>
        <v>0</v>
      </c>
      <c r="L129" s="24">
        <f t="shared" si="69"/>
        <v>124</v>
      </c>
      <c r="M129" s="24">
        <f t="shared" si="69"/>
        <v>0</v>
      </c>
      <c r="N129" s="24">
        <f t="shared" si="69"/>
        <v>0</v>
      </c>
      <c r="O129" s="24">
        <f t="shared" si="69"/>
        <v>0</v>
      </c>
      <c r="P129" s="24">
        <f t="shared" si="69"/>
        <v>6558</v>
      </c>
      <c r="Q129" s="24">
        <f t="shared" si="69"/>
        <v>0</v>
      </c>
      <c r="R129" s="24">
        <f t="shared" si="69"/>
        <v>6558</v>
      </c>
    </row>
    <row r="130" spans="1:18" ht="20.100000000000001" customHeight="1" thickBot="1">
      <c r="A130" s="347" t="s">
        <v>156</v>
      </c>
      <c r="B130" s="348"/>
      <c r="C130" s="349"/>
    </row>
    <row r="131" spans="1:18" ht="20.100000000000001" customHeight="1">
      <c r="A131" s="6">
        <v>1</v>
      </c>
      <c r="B131" s="6">
        <v>5</v>
      </c>
      <c r="C131" s="141" t="s">
        <v>104</v>
      </c>
      <c r="D131" s="6">
        <v>5</v>
      </c>
      <c r="E131" s="6"/>
      <c r="F131" s="6">
        <f t="shared" si="64"/>
        <v>5</v>
      </c>
      <c r="G131" s="6">
        <v>5</v>
      </c>
      <c r="H131" s="6"/>
      <c r="I131" s="6">
        <f t="shared" si="65"/>
        <v>5</v>
      </c>
      <c r="J131" s="6"/>
      <c r="K131" s="6"/>
      <c r="L131" s="6">
        <f t="shared" si="68"/>
        <v>0</v>
      </c>
      <c r="M131" s="6"/>
      <c r="N131" s="6"/>
      <c r="O131" s="6"/>
      <c r="P131" s="20">
        <f t="shared" si="66"/>
        <v>5</v>
      </c>
      <c r="Q131" s="6"/>
      <c r="R131" s="20">
        <f t="shared" si="67"/>
        <v>5</v>
      </c>
    </row>
    <row r="132" spans="1:18" ht="20.100000000000001" customHeight="1">
      <c r="A132" s="6">
        <v>2</v>
      </c>
      <c r="B132" s="6">
        <v>3</v>
      </c>
      <c r="C132" s="142" t="s">
        <v>19</v>
      </c>
      <c r="D132" s="6">
        <v>2</v>
      </c>
      <c r="E132" s="6"/>
      <c r="F132" s="6">
        <f t="shared" si="64"/>
        <v>2</v>
      </c>
      <c r="G132" s="6">
        <v>2</v>
      </c>
      <c r="H132" s="6"/>
      <c r="I132" s="6">
        <f t="shared" si="65"/>
        <v>2</v>
      </c>
      <c r="J132" s="6"/>
      <c r="K132" s="6"/>
      <c r="L132" s="6">
        <f t="shared" si="68"/>
        <v>0</v>
      </c>
      <c r="M132" s="6"/>
      <c r="N132" s="6"/>
      <c r="O132" s="6"/>
      <c r="P132" s="20">
        <f t="shared" si="66"/>
        <v>2</v>
      </c>
      <c r="Q132" s="6"/>
      <c r="R132" s="20">
        <f t="shared" si="67"/>
        <v>2</v>
      </c>
    </row>
    <row r="133" spans="1:18" ht="20.100000000000001" customHeight="1">
      <c r="A133" s="6">
        <v>3</v>
      </c>
      <c r="B133" s="6">
        <v>5</v>
      </c>
      <c r="C133" s="142" t="s">
        <v>157</v>
      </c>
      <c r="D133" s="6">
        <v>1</v>
      </c>
      <c r="E133" s="6"/>
      <c r="F133" s="6">
        <f t="shared" si="64"/>
        <v>1</v>
      </c>
      <c r="G133" s="6">
        <v>1</v>
      </c>
      <c r="H133" s="6"/>
      <c r="I133" s="6">
        <f t="shared" si="65"/>
        <v>1</v>
      </c>
      <c r="J133" s="6"/>
      <c r="K133" s="6"/>
      <c r="L133" s="6">
        <f t="shared" si="68"/>
        <v>0</v>
      </c>
      <c r="M133" s="6"/>
      <c r="N133" s="6"/>
      <c r="O133" s="6"/>
      <c r="P133" s="20">
        <f t="shared" si="66"/>
        <v>1</v>
      </c>
      <c r="Q133" s="6"/>
      <c r="R133" s="20">
        <f t="shared" si="67"/>
        <v>1</v>
      </c>
    </row>
    <row r="134" spans="1:18" ht="20.100000000000001" customHeight="1">
      <c r="A134" s="6">
        <v>4</v>
      </c>
      <c r="B134" s="6">
        <v>3</v>
      </c>
      <c r="C134" s="142" t="s">
        <v>158</v>
      </c>
      <c r="D134" s="6">
        <v>2</v>
      </c>
      <c r="E134" s="6"/>
      <c r="F134" s="6">
        <f t="shared" si="64"/>
        <v>2</v>
      </c>
      <c r="G134" s="6">
        <v>2</v>
      </c>
      <c r="H134" s="6"/>
      <c r="I134" s="6">
        <f t="shared" si="65"/>
        <v>2</v>
      </c>
      <c r="J134" s="6"/>
      <c r="K134" s="6"/>
      <c r="L134" s="6">
        <f t="shared" si="68"/>
        <v>0</v>
      </c>
      <c r="M134" s="6"/>
      <c r="N134" s="6"/>
      <c r="O134" s="6"/>
      <c r="P134" s="20">
        <f t="shared" si="66"/>
        <v>2</v>
      </c>
      <c r="Q134" s="6"/>
      <c r="R134" s="20">
        <f t="shared" si="67"/>
        <v>2</v>
      </c>
    </row>
    <row r="135" spans="1:18" ht="20.100000000000001" customHeight="1">
      <c r="A135" s="6">
        <v>5</v>
      </c>
      <c r="B135" s="7">
        <v>1</v>
      </c>
      <c r="C135" s="142" t="s">
        <v>159</v>
      </c>
      <c r="D135" s="6">
        <v>1</v>
      </c>
      <c r="E135" s="6"/>
      <c r="F135" s="6">
        <f t="shared" si="64"/>
        <v>1</v>
      </c>
      <c r="G135" s="6">
        <v>1</v>
      </c>
      <c r="H135" s="6"/>
      <c r="I135" s="6">
        <f t="shared" si="65"/>
        <v>1</v>
      </c>
      <c r="J135" s="6"/>
      <c r="K135" s="6"/>
      <c r="L135" s="6">
        <f t="shared" si="68"/>
        <v>0</v>
      </c>
      <c r="M135" s="6"/>
      <c r="N135" s="6"/>
      <c r="O135" s="6"/>
      <c r="P135" s="20">
        <f t="shared" si="66"/>
        <v>1</v>
      </c>
      <c r="Q135" s="6"/>
      <c r="R135" s="20">
        <f t="shared" si="67"/>
        <v>1</v>
      </c>
    </row>
    <row r="136" spans="1:18" ht="20.100000000000001" customHeight="1" thickBot="1">
      <c r="A136" s="342" t="s">
        <v>14</v>
      </c>
      <c r="B136" s="343"/>
      <c r="C136" s="344"/>
      <c r="D136" s="24">
        <f>SUM(D131:D135)</f>
        <v>11</v>
      </c>
      <c r="E136" s="24">
        <f t="shared" ref="E136:R136" si="70">SUM(E131:E135)</f>
        <v>0</v>
      </c>
      <c r="F136" s="24">
        <f t="shared" si="70"/>
        <v>11</v>
      </c>
      <c r="G136" s="24">
        <f t="shared" si="70"/>
        <v>11</v>
      </c>
      <c r="H136" s="24">
        <f t="shared" si="70"/>
        <v>0</v>
      </c>
      <c r="I136" s="24">
        <f t="shared" si="70"/>
        <v>11</v>
      </c>
      <c r="J136" s="24">
        <f t="shared" si="70"/>
        <v>0</v>
      </c>
      <c r="K136" s="24">
        <f t="shared" si="70"/>
        <v>0</v>
      </c>
      <c r="L136" s="24">
        <f t="shared" si="70"/>
        <v>0</v>
      </c>
      <c r="M136" s="24">
        <f t="shared" si="70"/>
        <v>0</v>
      </c>
      <c r="N136" s="24">
        <f t="shared" si="70"/>
        <v>0</v>
      </c>
      <c r="O136" s="24">
        <f t="shared" si="70"/>
        <v>0</v>
      </c>
      <c r="P136" s="24">
        <f t="shared" si="70"/>
        <v>11</v>
      </c>
      <c r="Q136" s="24">
        <f t="shared" si="70"/>
        <v>0</v>
      </c>
      <c r="R136" s="24">
        <f t="shared" si="70"/>
        <v>11</v>
      </c>
    </row>
    <row r="137" spans="1:18" ht="20.100000000000001" customHeight="1" thickBot="1">
      <c r="A137" s="347" t="s">
        <v>160</v>
      </c>
      <c r="B137" s="348"/>
      <c r="C137" s="349"/>
    </row>
    <row r="138" spans="1:18" ht="20.100000000000001" customHeight="1">
      <c r="A138" s="6">
        <v>1</v>
      </c>
      <c r="B138" s="133">
        <v>3</v>
      </c>
      <c r="C138" s="12" t="s">
        <v>161</v>
      </c>
      <c r="D138" s="6">
        <v>1</v>
      </c>
      <c r="E138" s="6"/>
      <c r="F138" s="6">
        <f t="shared" si="64"/>
        <v>1</v>
      </c>
      <c r="G138" s="6">
        <v>1</v>
      </c>
      <c r="H138" s="6"/>
      <c r="I138" s="6">
        <f t="shared" si="65"/>
        <v>1</v>
      </c>
      <c r="J138" s="6"/>
      <c r="K138" s="6"/>
      <c r="L138" s="6">
        <f t="shared" si="68"/>
        <v>0</v>
      </c>
      <c r="M138" s="6"/>
      <c r="N138" s="6"/>
      <c r="O138" s="6"/>
      <c r="P138" s="20">
        <f t="shared" si="66"/>
        <v>1</v>
      </c>
      <c r="Q138" s="6"/>
      <c r="R138" s="20">
        <f t="shared" si="67"/>
        <v>1</v>
      </c>
    </row>
    <row r="139" spans="1:18" ht="20.100000000000001" customHeight="1">
      <c r="A139" s="6">
        <v>2</v>
      </c>
      <c r="B139" s="134">
        <v>1</v>
      </c>
      <c r="C139" s="143" t="s">
        <v>19</v>
      </c>
      <c r="D139" s="6">
        <v>1</v>
      </c>
      <c r="E139" s="6"/>
      <c r="F139" s="6">
        <f t="shared" si="64"/>
        <v>1</v>
      </c>
      <c r="G139" s="6">
        <v>1</v>
      </c>
      <c r="H139" s="6"/>
      <c r="I139" s="6">
        <f t="shared" si="65"/>
        <v>1</v>
      </c>
      <c r="J139" s="6"/>
      <c r="K139" s="6"/>
      <c r="L139" s="6">
        <f t="shared" si="68"/>
        <v>0</v>
      </c>
      <c r="M139" s="6"/>
      <c r="N139" s="6"/>
      <c r="O139" s="6"/>
      <c r="P139" s="20">
        <f t="shared" si="66"/>
        <v>1</v>
      </c>
      <c r="Q139" s="6"/>
      <c r="R139" s="20">
        <f t="shared" si="67"/>
        <v>1</v>
      </c>
    </row>
    <row r="140" spans="1:18" ht="20.100000000000001" customHeight="1" thickBot="1">
      <c r="A140" s="342" t="s">
        <v>14</v>
      </c>
      <c r="B140" s="343"/>
      <c r="C140" s="344"/>
      <c r="D140" s="24">
        <f>SUM(D138:D139)</f>
        <v>2</v>
      </c>
      <c r="E140" s="24">
        <f t="shared" ref="E140:R140" si="71">SUM(E138:E139)</f>
        <v>0</v>
      </c>
      <c r="F140" s="24">
        <f t="shared" si="71"/>
        <v>2</v>
      </c>
      <c r="G140" s="24">
        <f t="shared" si="71"/>
        <v>2</v>
      </c>
      <c r="H140" s="24">
        <f t="shared" si="71"/>
        <v>0</v>
      </c>
      <c r="I140" s="24">
        <f t="shared" si="71"/>
        <v>2</v>
      </c>
      <c r="J140" s="24">
        <f t="shared" si="71"/>
        <v>0</v>
      </c>
      <c r="K140" s="24">
        <f t="shared" si="71"/>
        <v>0</v>
      </c>
      <c r="L140" s="24">
        <f t="shared" si="71"/>
        <v>0</v>
      </c>
      <c r="M140" s="24">
        <f t="shared" si="71"/>
        <v>0</v>
      </c>
      <c r="N140" s="24">
        <f t="shared" si="71"/>
        <v>0</v>
      </c>
      <c r="O140" s="24">
        <f t="shared" si="71"/>
        <v>0</v>
      </c>
      <c r="P140" s="24">
        <f t="shared" si="71"/>
        <v>2</v>
      </c>
      <c r="Q140" s="24">
        <f t="shared" si="71"/>
        <v>0</v>
      </c>
      <c r="R140" s="24">
        <f t="shared" si="71"/>
        <v>2</v>
      </c>
    </row>
    <row r="141" spans="1:18" ht="20.100000000000001" customHeight="1" thickBot="1">
      <c r="A141" s="347" t="s">
        <v>162</v>
      </c>
      <c r="B141" s="348"/>
      <c r="C141" s="349"/>
    </row>
    <row r="142" spans="1:18" ht="20.100000000000001" customHeight="1">
      <c r="A142" s="6">
        <v>1</v>
      </c>
      <c r="B142" s="6">
        <v>5</v>
      </c>
      <c r="C142" s="141" t="s">
        <v>163</v>
      </c>
      <c r="D142" s="6">
        <v>4</v>
      </c>
      <c r="E142" s="6"/>
      <c r="F142" s="6">
        <f t="shared" si="64"/>
        <v>4</v>
      </c>
      <c r="G142" s="6">
        <v>4</v>
      </c>
      <c r="H142" s="6"/>
      <c r="I142" s="6">
        <f t="shared" si="65"/>
        <v>4</v>
      </c>
      <c r="J142" s="6"/>
      <c r="K142" s="6"/>
      <c r="L142" s="6">
        <f t="shared" si="68"/>
        <v>0</v>
      </c>
      <c r="M142" s="6"/>
      <c r="N142" s="6"/>
      <c r="O142" s="6"/>
      <c r="P142" s="20">
        <f t="shared" si="66"/>
        <v>4</v>
      </c>
      <c r="Q142" s="6"/>
      <c r="R142" s="20">
        <f t="shared" si="67"/>
        <v>4</v>
      </c>
    </row>
    <row r="143" spans="1:18" ht="20.100000000000001" customHeight="1">
      <c r="A143" s="6">
        <v>2</v>
      </c>
      <c r="B143" s="136" t="s">
        <v>165</v>
      </c>
      <c r="C143" s="28" t="s">
        <v>164</v>
      </c>
      <c r="D143" s="6">
        <v>2</v>
      </c>
      <c r="E143" s="6"/>
      <c r="F143" s="6">
        <f t="shared" si="64"/>
        <v>2</v>
      </c>
      <c r="G143" s="6">
        <v>2</v>
      </c>
      <c r="H143" s="6"/>
      <c r="I143" s="6">
        <f t="shared" si="65"/>
        <v>2</v>
      </c>
      <c r="J143" s="6"/>
      <c r="K143" s="6"/>
      <c r="L143" s="6">
        <f t="shared" si="68"/>
        <v>0</v>
      </c>
      <c r="M143" s="6"/>
      <c r="N143" s="6"/>
      <c r="O143" s="6"/>
      <c r="P143" s="20">
        <f t="shared" si="66"/>
        <v>2</v>
      </c>
      <c r="Q143" s="6"/>
      <c r="R143" s="20">
        <f t="shared" si="67"/>
        <v>2</v>
      </c>
    </row>
    <row r="144" spans="1:18" ht="20.100000000000001" customHeight="1" thickBot="1">
      <c r="A144" s="342" t="s">
        <v>14</v>
      </c>
      <c r="B144" s="343"/>
      <c r="C144" s="344"/>
      <c r="D144" s="24">
        <f>SUM(D142:D143)</f>
        <v>6</v>
      </c>
      <c r="E144" s="24">
        <f t="shared" ref="E144:R144" si="72">SUM(E142:E143)</f>
        <v>0</v>
      </c>
      <c r="F144" s="24">
        <f t="shared" si="72"/>
        <v>6</v>
      </c>
      <c r="G144" s="24">
        <f t="shared" si="72"/>
        <v>6</v>
      </c>
      <c r="H144" s="24">
        <f t="shared" si="72"/>
        <v>0</v>
      </c>
      <c r="I144" s="24">
        <f t="shared" si="72"/>
        <v>6</v>
      </c>
      <c r="J144" s="24">
        <f t="shared" si="72"/>
        <v>0</v>
      </c>
      <c r="K144" s="24">
        <f t="shared" si="72"/>
        <v>0</v>
      </c>
      <c r="L144" s="24">
        <f t="shared" si="72"/>
        <v>0</v>
      </c>
      <c r="M144" s="24">
        <f t="shared" si="72"/>
        <v>0</v>
      </c>
      <c r="N144" s="24">
        <f t="shared" si="72"/>
        <v>0</v>
      </c>
      <c r="O144" s="24">
        <f t="shared" si="72"/>
        <v>0</v>
      </c>
      <c r="P144" s="24">
        <f t="shared" si="72"/>
        <v>6</v>
      </c>
      <c r="Q144" s="24">
        <f t="shared" si="72"/>
        <v>0</v>
      </c>
      <c r="R144" s="24">
        <f t="shared" si="72"/>
        <v>6</v>
      </c>
    </row>
    <row r="145" spans="1:18" ht="20.100000000000001" customHeight="1" thickBot="1">
      <c r="A145" s="347" t="s">
        <v>166</v>
      </c>
      <c r="B145" s="348"/>
      <c r="C145" s="349"/>
    </row>
    <row r="146" spans="1:18" ht="20.100000000000001" customHeight="1">
      <c r="A146" s="6">
        <v>1</v>
      </c>
      <c r="B146" s="136" t="s">
        <v>168</v>
      </c>
      <c r="C146" s="144" t="s">
        <v>167</v>
      </c>
      <c r="D146" s="6">
        <v>7</v>
      </c>
      <c r="E146" s="6"/>
      <c r="F146" s="6">
        <f t="shared" si="64"/>
        <v>7</v>
      </c>
      <c r="G146" s="6">
        <v>7</v>
      </c>
      <c r="H146" s="6"/>
      <c r="I146" s="6">
        <f t="shared" si="65"/>
        <v>7</v>
      </c>
      <c r="J146" s="6"/>
      <c r="K146" s="6"/>
      <c r="L146" s="6">
        <f t="shared" si="68"/>
        <v>0</v>
      </c>
      <c r="M146" s="6"/>
      <c r="N146" s="6"/>
      <c r="O146" s="6"/>
      <c r="P146" s="20">
        <f t="shared" si="66"/>
        <v>7</v>
      </c>
      <c r="Q146" s="6"/>
      <c r="R146" s="20">
        <f t="shared" si="67"/>
        <v>7</v>
      </c>
    </row>
    <row r="147" spans="1:18" ht="20.100000000000001" customHeight="1">
      <c r="A147" s="6">
        <v>2</v>
      </c>
      <c r="B147" s="6">
        <v>1</v>
      </c>
      <c r="C147" s="141" t="s">
        <v>19</v>
      </c>
      <c r="D147" s="6">
        <v>1</v>
      </c>
      <c r="E147" s="6"/>
      <c r="F147" s="6">
        <f t="shared" si="64"/>
        <v>1</v>
      </c>
      <c r="G147" s="6">
        <v>1</v>
      </c>
      <c r="H147" s="6"/>
      <c r="I147" s="6">
        <f t="shared" si="65"/>
        <v>1</v>
      </c>
      <c r="J147" s="6"/>
      <c r="K147" s="6"/>
      <c r="L147" s="6">
        <f t="shared" si="68"/>
        <v>0</v>
      </c>
      <c r="M147" s="6"/>
      <c r="N147" s="6"/>
      <c r="O147" s="6"/>
      <c r="P147" s="20">
        <f t="shared" si="66"/>
        <v>1</v>
      </c>
      <c r="Q147" s="6"/>
      <c r="R147" s="20">
        <f t="shared" si="67"/>
        <v>1</v>
      </c>
    </row>
    <row r="148" spans="1:18" ht="20.100000000000001" customHeight="1">
      <c r="A148" s="6">
        <v>3</v>
      </c>
      <c r="B148" s="7">
        <v>3</v>
      </c>
      <c r="C148" s="142" t="s">
        <v>13</v>
      </c>
      <c r="D148" s="6">
        <v>1</v>
      </c>
      <c r="E148" s="6"/>
      <c r="F148" s="6">
        <f t="shared" si="64"/>
        <v>1</v>
      </c>
      <c r="G148" s="6">
        <v>1</v>
      </c>
      <c r="H148" s="6"/>
      <c r="I148" s="6">
        <f t="shared" si="65"/>
        <v>1</v>
      </c>
      <c r="J148" s="6"/>
      <c r="K148" s="6"/>
      <c r="L148" s="6">
        <f t="shared" si="68"/>
        <v>0</v>
      </c>
      <c r="M148" s="6"/>
      <c r="N148" s="6"/>
      <c r="O148" s="6"/>
      <c r="P148" s="20">
        <f t="shared" si="66"/>
        <v>1</v>
      </c>
      <c r="Q148" s="6"/>
      <c r="R148" s="20">
        <f t="shared" si="67"/>
        <v>1</v>
      </c>
    </row>
    <row r="149" spans="1:18" ht="20.100000000000001" customHeight="1" thickBot="1">
      <c r="A149" s="342" t="s">
        <v>14</v>
      </c>
      <c r="B149" s="343"/>
      <c r="C149" s="344"/>
      <c r="D149" s="24">
        <f>SUM(D146:D148)</f>
        <v>9</v>
      </c>
      <c r="E149" s="24">
        <f t="shared" ref="E149:R149" si="73">SUM(E146:E148)</f>
        <v>0</v>
      </c>
      <c r="F149" s="24">
        <f t="shared" si="73"/>
        <v>9</v>
      </c>
      <c r="G149" s="24">
        <f t="shared" si="73"/>
        <v>9</v>
      </c>
      <c r="H149" s="24">
        <f t="shared" si="73"/>
        <v>0</v>
      </c>
      <c r="I149" s="24">
        <f t="shared" si="73"/>
        <v>9</v>
      </c>
      <c r="J149" s="24">
        <f t="shared" si="73"/>
        <v>0</v>
      </c>
      <c r="K149" s="24">
        <f t="shared" si="73"/>
        <v>0</v>
      </c>
      <c r="L149" s="24">
        <f t="shared" si="73"/>
        <v>0</v>
      </c>
      <c r="M149" s="24">
        <f t="shared" si="73"/>
        <v>0</v>
      </c>
      <c r="N149" s="24">
        <f t="shared" si="73"/>
        <v>0</v>
      </c>
      <c r="O149" s="24">
        <f t="shared" si="73"/>
        <v>0</v>
      </c>
      <c r="P149" s="24">
        <f t="shared" si="73"/>
        <v>9</v>
      </c>
      <c r="Q149" s="24">
        <f t="shared" si="73"/>
        <v>0</v>
      </c>
      <c r="R149" s="24">
        <f t="shared" si="73"/>
        <v>9</v>
      </c>
    </row>
    <row r="150" spans="1:18" ht="20.100000000000001" customHeight="1" thickBot="1">
      <c r="A150" s="347" t="s">
        <v>169</v>
      </c>
      <c r="B150" s="348"/>
      <c r="C150" s="349"/>
    </row>
    <row r="151" spans="1:18" ht="20.100000000000001" customHeight="1">
      <c r="A151" s="6">
        <v>1</v>
      </c>
      <c r="B151" s="6">
        <v>5</v>
      </c>
      <c r="C151" s="141" t="s">
        <v>170</v>
      </c>
      <c r="D151" s="6">
        <v>1</v>
      </c>
      <c r="E151" s="6"/>
      <c r="F151" s="6">
        <f t="shared" si="64"/>
        <v>1</v>
      </c>
      <c r="G151" s="6">
        <v>1</v>
      </c>
      <c r="H151" s="6"/>
      <c r="I151" s="6">
        <f t="shared" si="65"/>
        <v>1</v>
      </c>
      <c r="J151" s="6"/>
      <c r="K151" s="6"/>
      <c r="L151" s="6">
        <f t="shared" si="68"/>
        <v>0</v>
      </c>
      <c r="M151" s="6"/>
      <c r="N151" s="6"/>
      <c r="O151" s="6"/>
      <c r="P151" s="20">
        <f t="shared" si="66"/>
        <v>1</v>
      </c>
      <c r="Q151" s="6"/>
      <c r="R151" s="20">
        <f t="shared" si="67"/>
        <v>1</v>
      </c>
    </row>
    <row r="152" spans="1:18" ht="20.100000000000001" customHeight="1">
      <c r="A152" s="6">
        <v>2</v>
      </c>
      <c r="B152" s="6">
        <v>3</v>
      </c>
      <c r="C152" s="141" t="s">
        <v>167</v>
      </c>
      <c r="D152" s="6">
        <v>2</v>
      </c>
      <c r="E152" s="6"/>
      <c r="F152" s="6">
        <f t="shared" si="64"/>
        <v>2</v>
      </c>
      <c r="G152" s="6">
        <v>2</v>
      </c>
      <c r="H152" s="6"/>
      <c r="I152" s="6">
        <f t="shared" si="65"/>
        <v>2</v>
      </c>
      <c r="J152" s="6"/>
      <c r="K152" s="6"/>
      <c r="L152" s="6">
        <f t="shared" si="68"/>
        <v>0</v>
      </c>
      <c r="M152" s="6"/>
      <c r="N152" s="6"/>
      <c r="O152" s="6"/>
      <c r="P152" s="20">
        <f t="shared" si="66"/>
        <v>2</v>
      </c>
      <c r="Q152" s="6"/>
      <c r="R152" s="20">
        <f t="shared" si="67"/>
        <v>2</v>
      </c>
    </row>
    <row r="153" spans="1:18" ht="20.100000000000001" customHeight="1">
      <c r="A153" s="6">
        <v>3</v>
      </c>
      <c r="B153" s="133">
        <v>1</v>
      </c>
      <c r="C153" s="131" t="s">
        <v>13</v>
      </c>
      <c r="D153" s="6">
        <v>1</v>
      </c>
      <c r="E153" s="6"/>
      <c r="F153" s="6">
        <f t="shared" si="64"/>
        <v>1</v>
      </c>
      <c r="G153" s="6">
        <v>1</v>
      </c>
      <c r="H153" s="6"/>
      <c r="I153" s="6">
        <f t="shared" si="65"/>
        <v>1</v>
      </c>
      <c r="J153" s="6"/>
      <c r="K153" s="6"/>
      <c r="L153" s="6">
        <f t="shared" si="68"/>
        <v>0</v>
      </c>
      <c r="M153" s="6"/>
      <c r="N153" s="6"/>
      <c r="O153" s="6"/>
      <c r="P153" s="20">
        <f t="shared" si="66"/>
        <v>1</v>
      </c>
      <c r="Q153" s="6"/>
      <c r="R153" s="20">
        <f t="shared" si="67"/>
        <v>1</v>
      </c>
    </row>
    <row r="154" spans="1:18" ht="20.100000000000001" customHeight="1">
      <c r="A154" s="6">
        <v>4</v>
      </c>
      <c r="B154" s="134">
        <v>1</v>
      </c>
      <c r="C154" s="132" t="s">
        <v>19</v>
      </c>
      <c r="D154" s="6">
        <v>1</v>
      </c>
      <c r="E154" s="6"/>
      <c r="F154" s="6">
        <f t="shared" si="64"/>
        <v>1</v>
      </c>
      <c r="G154" s="6">
        <v>1</v>
      </c>
      <c r="H154" s="6"/>
      <c r="I154" s="6">
        <f t="shared" si="65"/>
        <v>1</v>
      </c>
      <c r="J154" s="6"/>
      <c r="K154" s="6"/>
      <c r="L154" s="6">
        <f t="shared" si="68"/>
        <v>0</v>
      </c>
      <c r="M154" s="6"/>
      <c r="N154" s="6"/>
      <c r="O154" s="6"/>
      <c r="P154" s="20">
        <f t="shared" si="66"/>
        <v>1</v>
      </c>
      <c r="Q154" s="6"/>
      <c r="R154" s="20">
        <f t="shared" si="67"/>
        <v>1</v>
      </c>
    </row>
    <row r="155" spans="1:18" ht="20.100000000000001" customHeight="1" thickBot="1">
      <c r="A155" s="342" t="s">
        <v>14</v>
      </c>
      <c r="B155" s="343"/>
      <c r="C155" s="344"/>
      <c r="D155" s="24">
        <f>SUM(D151:D154)</f>
        <v>5</v>
      </c>
      <c r="E155" s="24">
        <f t="shared" ref="E155:R155" si="74">SUM(E151:E154)</f>
        <v>0</v>
      </c>
      <c r="F155" s="24">
        <f t="shared" si="74"/>
        <v>5</v>
      </c>
      <c r="G155" s="24">
        <f t="shared" si="74"/>
        <v>5</v>
      </c>
      <c r="H155" s="24">
        <f t="shared" si="74"/>
        <v>0</v>
      </c>
      <c r="I155" s="24">
        <f t="shared" si="74"/>
        <v>5</v>
      </c>
      <c r="J155" s="24">
        <f t="shared" si="74"/>
        <v>0</v>
      </c>
      <c r="K155" s="24">
        <f t="shared" si="74"/>
        <v>0</v>
      </c>
      <c r="L155" s="24">
        <f t="shared" si="74"/>
        <v>0</v>
      </c>
      <c r="M155" s="24">
        <f t="shared" si="74"/>
        <v>0</v>
      </c>
      <c r="N155" s="24">
        <f t="shared" si="74"/>
        <v>0</v>
      </c>
      <c r="O155" s="24">
        <f t="shared" si="74"/>
        <v>0</v>
      </c>
      <c r="P155" s="24">
        <f t="shared" si="74"/>
        <v>5</v>
      </c>
      <c r="Q155" s="24">
        <f t="shared" si="74"/>
        <v>0</v>
      </c>
      <c r="R155" s="24">
        <f t="shared" si="74"/>
        <v>5</v>
      </c>
    </row>
    <row r="156" spans="1:18" ht="20.100000000000001" customHeight="1" thickBot="1">
      <c r="A156" s="347" t="s">
        <v>171</v>
      </c>
      <c r="B156" s="348"/>
      <c r="C156" s="349"/>
    </row>
    <row r="157" spans="1:18" ht="20.100000000000001" customHeight="1">
      <c r="A157" s="6"/>
      <c r="B157" s="6">
        <v>8</v>
      </c>
      <c r="C157" s="141" t="s">
        <v>172</v>
      </c>
      <c r="D157" s="6">
        <v>2</v>
      </c>
      <c r="E157" s="6"/>
      <c r="F157" s="6">
        <f t="shared" si="64"/>
        <v>2</v>
      </c>
      <c r="G157" s="6">
        <v>2</v>
      </c>
      <c r="H157" s="6"/>
      <c r="I157" s="6">
        <f t="shared" si="65"/>
        <v>2</v>
      </c>
      <c r="J157" s="6"/>
      <c r="K157" s="6"/>
      <c r="L157" s="6">
        <f t="shared" si="68"/>
        <v>0</v>
      </c>
      <c r="M157" s="6"/>
      <c r="N157" s="6"/>
      <c r="O157" s="6"/>
      <c r="P157" s="20">
        <f t="shared" si="66"/>
        <v>2</v>
      </c>
      <c r="Q157" s="6"/>
      <c r="R157" s="20">
        <f t="shared" si="67"/>
        <v>2</v>
      </c>
    </row>
    <row r="158" spans="1:18" ht="20.100000000000001" customHeight="1">
      <c r="A158" s="6"/>
      <c r="B158" s="6">
        <v>5</v>
      </c>
      <c r="C158" s="141" t="s">
        <v>173</v>
      </c>
      <c r="D158" s="6">
        <v>4</v>
      </c>
      <c r="E158" s="6"/>
      <c r="F158" s="6">
        <f t="shared" si="64"/>
        <v>4</v>
      </c>
      <c r="G158" s="6">
        <v>4</v>
      </c>
      <c r="H158" s="6"/>
      <c r="I158" s="6">
        <f t="shared" si="65"/>
        <v>4</v>
      </c>
      <c r="J158" s="6"/>
      <c r="K158" s="6"/>
      <c r="L158" s="6">
        <f t="shared" si="68"/>
        <v>0</v>
      </c>
      <c r="M158" s="6"/>
      <c r="N158" s="6"/>
      <c r="O158" s="6"/>
      <c r="P158" s="20">
        <f t="shared" si="66"/>
        <v>4</v>
      </c>
      <c r="Q158" s="6"/>
      <c r="R158" s="20">
        <f t="shared" si="67"/>
        <v>4</v>
      </c>
    </row>
    <row r="159" spans="1:18" ht="20.100000000000001" customHeight="1">
      <c r="A159" s="6"/>
      <c r="B159" s="136" t="s">
        <v>165</v>
      </c>
      <c r="C159" s="28" t="s">
        <v>174</v>
      </c>
      <c r="D159" s="6">
        <v>5</v>
      </c>
      <c r="E159" s="6"/>
      <c r="F159" s="6">
        <f t="shared" si="64"/>
        <v>5</v>
      </c>
      <c r="G159" s="6">
        <v>5</v>
      </c>
      <c r="H159" s="6"/>
      <c r="I159" s="6">
        <f t="shared" si="65"/>
        <v>5</v>
      </c>
      <c r="J159" s="6"/>
      <c r="K159" s="6"/>
      <c r="L159" s="6">
        <f t="shared" si="68"/>
        <v>0</v>
      </c>
      <c r="M159" s="6"/>
      <c r="N159" s="6"/>
      <c r="O159" s="6"/>
      <c r="P159" s="20">
        <f t="shared" si="66"/>
        <v>5</v>
      </c>
      <c r="Q159" s="6"/>
      <c r="R159" s="20">
        <f t="shared" si="67"/>
        <v>5</v>
      </c>
    </row>
    <row r="160" spans="1:18" ht="20.100000000000001" customHeight="1">
      <c r="A160" s="6"/>
      <c r="B160" s="6">
        <v>1</v>
      </c>
      <c r="C160" s="145" t="s">
        <v>13</v>
      </c>
      <c r="D160" s="6">
        <v>1</v>
      </c>
      <c r="E160" s="6"/>
      <c r="F160" s="6">
        <f t="shared" si="64"/>
        <v>1</v>
      </c>
      <c r="G160" s="6">
        <v>1</v>
      </c>
      <c r="H160" s="6"/>
      <c r="I160" s="6">
        <f t="shared" si="65"/>
        <v>1</v>
      </c>
      <c r="J160" s="6"/>
      <c r="K160" s="6"/>
      <c r="L160" s="6">
        <f t="shared" si="68"/>
        <v>0</v>
      </c>
      <c r="M160" s="6"/>
      <c r="N160" s="6"/>
      <c r="O160" s="6"/>
      <c r="P160" s="20">
        <f t="shared" si="66"/>
        <v>1</v>
      </c>
      <c r="Q160" s="6"/>
      <c r="R160" s="20">
        <f t="shared" si="67"/>
        <v>1</v>
      </c>
    </row>
    <row r="161" spans="1:18" ht="20.100000000000001" customHeight="1">
      <c r="A161" s="6"/>
      <c r="B161" s="6">
        <v>1</v>
      </c>
      <c r="C161" s="141" t="s">
        <v>19</v>
      </c>
      <c r="D161" s="6">
        <v>1</v>
      </c>
      <c r="E161" s="6"/>
      <c r="F161" s="6">
        <f t="shared" si="64"/>
        <v>1</v>
      </c>
      <c r="G161" s="6">
        <v>1</v>
      </c>
      <c r="H161" s="6"/>
      <c r="I161" s="6">
        <f t="shared" si="65"/>
        <v>1</v>
      </c>
      <c r="J161" s="6"/>
      <c r="K161" s="6"/>
      <c r="L161" s="6">
        <f t="shared" si="68"/>
        <v>0</v>
      </c>
      <c r="M161" s="6"/>
      <c r="N161" s="6"/>
      <c r="O161" s="6"/>
      <c r="P161" s="20">
        <f t="shared" si="66"/>
        <v>1</v>
      </c>
      <c r="Q161" s="6"/>
      <c r="R161" s="20">
        <f t="shared" si="67"/>
        <v>1</v>
      </c>
    </row>
    <row r="162" spans="1:18" ht="20.100000000000001" customHeight="1">
      <c r="A162" s="6"/>
      <c r="B162" s="136" t="s">
        <v>153</v>
      </c>
      <c r="C162" s="28" t="s">
        <v>106</v>
      </c>
      <c r="D162" s="6">
        <v>152</v>
      </c>
      <c r="E162" s="6"/>
      <c r="F162" s="6">
        <f t="shared" si="64"/>
        <v>152</v>
      </c>
      <c r="G162" s="6">
        <v>152</v>
      </c>
      <c r="H162" s="6"/>
      <c r="I162" s="6">
        <f t="shared" si="65"/>
        <v>152</v>
      </c>
      <c r="J162" s="6"/>
      <c r="K162" s="6"/>
      <c r="L162" s="6">
        <f t="shared" si="68"/>
        <v>0</v>
      </c>
      <c r="M162" s="6"/>
      <c r="N162" s="6"/>
      <c r="O162" s="6"/>
      <c r="P162" s="20">
        <f t="shared" si="66"/>
        <v>152</v>
      </c>
      <c r="Q162" s="6"/>
      <c r="R162" s="20">
        <f t="shared" si="67"/>
        <v>152</v>
      </c>
    </row>
    <row r="163" spans="1:18" ht="20.100000000000001" customHeight="1">
      <c r="A163" s="6"/>
      <c r="B163" s="120">
        <v>1</v>
      </c>
      <c r="C163" s="28" t="s">
        <v>175</v>
      </c>
      <c r="D163" s="6">
        <v>8</v>
      </c>
      <c r="E163" s="6"/>
      <c r="F163" s="6">
        <f t="shared" si="64"/>
        <v>8</v>
      </c>
      <c r="G163" s="6"/>
      <c r="H163" s="6"/>
      <c r="I163" s="6">
        <f t="shared" si="65"/>
        <v>0</v>
      </c>
      <c r="J163" s="6">
        <v>8</v>
      </c>
      <c r="K163" s="6"/>
      <c r="L163" s="6">
        <f t="shared" si="68"/>
        <v>8</v>
      </c>
      <c r="M163" s="6"/>
      <c r="N163" s="6"/>
      <c r="O163" s="6"/>
      <c r="P163" s="20">
        <f t="shared" si="66"/>
        <v>8</v>
      </c>
      <c r="Q163" s="6"/>
      <c r="R163" s="20">
        <f t="shared" si="67"/>
        <v>8</v>
      </c>
    </row>
    <row r="164" spans="1:18" ht="20.100000000000001" customHeight="1">
      <c r="A164" s="342" t="s">
        <v>14</v>
      </c>
      <c r="B164" s="343"/>
      <c r="C164" s="344"/>
      <c r="D164" s="24">
        <f>SUM(D157:D163)</f>
        <v>173</v>
      </c>
      <c r="E164" s="24">
        <f t="shared" ref="E164:R164" si="75">SUM(E157:E163)</f>
        <v>0</v>
      </c>
      <c r="F164" s="24">
        <f t="shared" si="75"/>
        <v>173</v>
      </c>
      <c r="G164" s="24">
        <f t="shared" si="75"/>
        <v>165</v>
      </c>
      <c r="H164" s="24">
        <f t="shared" si="75"/>
        <v>0</v>
      </c>
      <c r="I164" s="24">
        <f t="shared" si="75"/>
        <v>165</v>
      </c>
      <c r="J164" s="24">
        <f t="shared" si="75"/>
        <v>8</v>
      </c>
      <c r="K164" s="24">
        <f t="shared" si="75"/>
        <v>0</v>
      </c>
      <c r="L164" s="24">
        <f t="shared" si="75"/>
        <v>8</v>
      </c>
      <c r="M164" s="24">
        <f t="shared" si="75"/>
        <v>0</v>
      </c>
      <c r="N164" s="24">
        <f t="shared" si="75"/>
        <v>0</v>
      </c>
      <c r="O164" s="24">
        <f t="shared" si="75"/>
        <v>0</v>
      </c>
      <c r="P164" s="24">
        <f t="shared" si="75"/>
        <v>173</v>
      </c>
      <c r="Q164" s="24">
        <f t="shared" si="75"/>
        <v>0</v>
      </c>
      <c r="R164" s="24">
        <f t="shared" si="75"/>
        <v>173</v>
      </c>
    </row>
    <row r="165" spans="1:18" ht="20.100000000000001" customHeight="1">
      <c r="A165" s="345" t="s">
        <v>94</v>
      </c>
      <c r="B165" s="346"/>
      <c r="C165" s="346"/>
      <c r="D165" s="118">
        <f t="shared" ref="D165:R165" si="76">SUM(D164,D155,D149,D144,D140,D136,D129,D123,D115,D108,D100,D89,D76,D72)</f>
        <v>13281</v>
      </c>
      <c r="E165" s="118">
        <f t="shared" si="76"/>
        <v>0</v>
      </c>
      <c r="F165" s="118">
        <f t="shared" si="76"/>
        <v>13281</v>
      </c>
      <c r="G165" s="118">
        <f t="shared" si="76"/>
        <v>13025</v>
      </c>
      <c r="H165" s="118">
        <f t="shared" si="76"/>
        <v>0</v>
      </c>
      <c r="I165" s="118">
        <f t="shared" si="76"/>
        <v>13025</v>
      </c>
      <c r="J165" s="118">
        <f t="shared" si="76"/>
        <v>256</v>
      </c>
      <c r="K165" s="118">
        <f t="shared" si="76"/>
        <v>0</v>
      </c>
      <c r="L165" s="118">
        <f t="shared" si="76"/>
        <v>256</v>
      </c>
      <c r="M165" s="118">
        <f t="shared" si="76"/>
        <v>0</v>
      </c>
      <c r="N165" s="118">
        <f t="shared" si="76"/>
        <v>0</v>
      </c>
      <c r="O165" s="118">
        <f t="shared" si="76"/>
        <v>0</v>
      </c>
      <c r="P165" s="118">
        <f t="shared" si="76"/>
        <v>13281</v>
      </c>
      <c r="Q165" s="118">
        <f t="shared" si="76"/>
        <v>0</v>
      </c>
      <c r="R165" s="118">
        <f t="shared" si="76"/>
        <v>13281</v>
      </c>
    </row>
    <row r="166" spans="1:18" ht="20.100000000000001" customHeight="1">
      <c r="A166" t="s">
        <v>117</v>
      </c>
    </row>
  </sheetData>
  <mergeCells count="42">
    <mergeCell ref="A2:R2"/>
    <mergeCell ref="A3:R3"/>
    <mergeCell ref="A4:R4"/>
    <mergeCell ref="A5:D5"/>
    <mergeCell ref="A8:R8"/>
    <mergeCell ref="P9:R10"/>
    <mergeCell ref="A12:C12"/>
    <mergeCell ref="B72:C72"/>
    <mergeCell ref="G9:I10"/>
    <mergeCell ref="B100:C100"/>
    <mergeCell ref="B76:C76"/>
    <mergeCell ref="A77:C77"/>
    <mergeCell ref="B89:C89"/>
    <mergeCell ref="A91:C91"/>
    <mergeCell ref="A73:C73"/>
    <mergeCell ref="A9:A11"/>
    <mergeCell ref="B9:B11"/>
    <mergeCell ref="C9:C11"/>
    <mergeCell ref="D9:F10"/>
    <mergeCell ref="J9:L10"/>
    <mergeCell ref="M9:O10"/>
    <mergeCell ref="A129:C129"/>
    <mergeCell ref="A130:C130"/>
    <mergeCell ref="A136:C136"/>
    <mergeCell ref="A137:C137"/>
    <mergeCell ref="A140:C140"/>
    <mergeCell ref="A101:C101"/>
    <mergeCell ref="A164:C164"/>
    <mergeCell ref="A165:C165"/>
    <mergeCell ref="A144:C144"/>
    <mergeCell ref="A145:C145"/>
    <mergeCell ref="A149:C149"/>
    <mergeCell ref="A150:C150"/>
    <mergeCell ref="A155:C155"/>
    <mergeCell ref="A156:C156"/>
    <mergeCell ref="A141:C141"/>
    <mergeCell ref="B108:C108"/>
    <mergeCell ref="A109:C109"/>
    <mergeCell ref="B115:C115"/>
    <mergeCell ref="A116:C116"/>
    <mergeCell ref="A123:C123"/>
    <mergeCell ref="A124:C124"/>
  </mergeCells>
  <pageMargins left="1.75" right="1" top="0.64" bottom="0.75" header="0.4" footer="0.5"/>
  <pageSetup paperSize="5" firstPageNumber="46" orientation="landscape" useFirstPageNumber="1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112"/>
  <sheetViews>
    <sheetView view="pageBreakPreview" zoomScaleNormal="85" zoomScaleSheetLayoutView="100" workbookViewId="0">
      <pane ySplit="5" topLeftCell="A6" activePane="bottomLeft" state="frozen"/>
      <selection pane="bottomLeft" activeCell="J8" sqref="J8"/>
    </sheetView>
  </sheetViews>
  <sheetFormatPr defaultRowHeight="20.100000000000001" customHeight="1"/>
  <cols>
    <col min="1" max="1" width="3.85546875" style="50" customWidth="1"/>
    <col min="2" max="2" width="14" style="39" customWidth="1"/>
    <col min="3" max="3" width="4" style="39" customWidth="1"/>
    <col min="4" max="6" width="4.140625" style="39" customWidth="1"/>
    <col min="7" max="7" width="9" style="39" customWidth="1"/>
    <col min="8" max="8" width="7.85546875" style="39" customWidth="1"/>
    <col min="9" max="9" width="8.7109375" style="39" customWidth="1"/>
    <col min="10" max="10" width="7.85546875" style="39" customWidth="1"/>
    <col min="11" max="11" width="6.7109375" style="39" customWidth="1"/>
    <col min="12" max="13" width="8.42578125" style="39" customWidth="1"/>
    <col min="14" max="14" width="8.5703125" style="39" customWidth="1"/>
    <col min="15" max="15" width="8" style="39" customWidth="1"/>
    <col min="16" max="16" width="8.7109375" style="39" customWidth="1"/>
    <col min="17" max="17" width="7.85546875" style="39" customWidth="1"/>
    <col min="18" max="18" width="9" style="39" bestFit="1" customWidth="1"/>
    <col min="19" max="20" width="9" style="39" customWidth="1"/>
    <col min="21" max="21" width="10" style="39" bestFit="1" customWidth="1"/>
    <col min="22" max="16384" width="9.140625" style="39"/>
  </cols>
  <sheetData>
    <row r="1" spans="1:25" ht="20.100000000000001" customHeight="1" thickBot="1">
      <c r="A1" s="377" t="s">
        <v>33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9"/>
    </row>
    <row r="2" spans="1:25" ht="20.100000000000001" customHeight="1" thickBot="1">
      <c r="A2" s="380" t="s">
        <v>89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2"/>
    </row>
    <row r="3" spans="1:25" ht="20.100000000000001" customHeight="1" thickBot="1">
      <c r="A3" s="383" t="s">
        <v>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5"/>
    </row>
    <row r="4" spans="1:25" ht="28.5" customHeight="1" thickBot="1">
      <c r="A4" s="364" t="s">
        <v>70</v>
      </c>
      <c r="B4" s="386" t="s">
        <v>3</v>
      </c>
      <c r="C4" s="386" t="s">
        <v>2</v>
      </c>
      <c r="D4" s="388" t="s">
        <v>34</v>
      </c>
      <c r="E4" s="389"/>
      <c r="F4" s="390"/>
      <c r="G4" s="364" t="s">
        <v>75</v>
      </c>
      <c r="H4" s="364" t="s">
        <v>72</v>
      </c>
      <c r="I4" s="364" t="s">
        <v>76</v>
      </c>
      <c r="J4" s="364" t="s">
        <v>77</v>
      </c>
      <c r="K4" s="364" t="s">
        <v>78</v>
      </c>
      <c r="L4" s="358" t="s">
        <v>84</v>
      </c>
      <c r="M4" s="358" t="s">
        <v>83</v>
      </c>
      <c r="N4" s="358" t="s">
        <v>87</v>
      </c>
      <c r="O4" s="356" t="s">
        <v>90</v>
      </c>
      <c r="P4" s="356" t="s">
        <v>91</v>
      </c>
      <c r="Q4" s="364" t="s">
        <v>73</v>
      </c>
      <c r="R4" s="364" t="s">
        <v>85</v>
      </c>
      <c r="S4" s="391" t="s">
        <v>92</v>
      </c>
      <c r="T4" s="386" t="s">
        <v>1</v>
      </c>
    </row>
    <row r="5" spans="1:25" ht="40.5" customHeight="1" thickBot="1">
      <c r="A5" s="365"/>
      <c r="B5" s="387"/>
      <c r="C5" s="387"/>
      <c r="D5" s="97" t="s">
        <v>35</v>
      </c>
      <c r="E5" s="98" t="s">
        <v>9</v>
      </c>
      <c r="F5" s="97" t="s">
        <v>1</v>
      </c>
      <c r="G5" s="365"/>
      <c r="H5" s="365"/>
      <c r="I5" s="365"/>
      <c r="J5" s="365"/>
      <c r="K5" s="365"/>
      <c r="L5" s="357"/>
      <c r="M5" s="357"/>
      <c r="N5" s="357"/>
      <c r="O5" s="357"/>
      <c r="P5" s="357"/>
      <c r="Q5" s="365"/>
      <c r="R5" s="365"/>
      <c r="S5" s="365"/>
      <c r="T5" s="387"/>
    </row>
    <row r="6" spans="1:25" ht="24" customHeight="1" thickBot="1">
      <c r="A6" s="361" t="s">
        <v>36</v>
      </c>
      <c r="B6" s="362"/>
      <c r="C6" s="363"/>
      <c r="D6" s="95"/>
      <c r="E6" s="96"/>
      <c r="F6" s="6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1" customHeight="1">
      <c r="A7" s="18">
        <v>1</v>
      </c>
      <c r="B7" s="35" t="s">
        <v>36</v>
      </c>
      <c r="C7" s="67"/>
      <c r="D7" s="11">
        <v>1</v>
      </c>
      <c r="E7" s="11"/>
      <c r="F7" s="11">
        <v>1</v>
      </c>
      <c r="G7" s="5">
        <v>108000</v>
      </c>
      <c r="H7" s="5">
        <v>0</v>
      </c>
      <c r="I7" s="5">
        <v>0</v>
      </c>
      <c r="J7" s="5">
        <v>0</v>
      </c>
      <c r="K7" s="5"/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/>
      <c r="T7" s="88">
        <f>SUM(G7+H7+I7+J7+K7+Q7+L7+M7+R7)</f>
        <v>108000</v>
      </c>
    </row>
    <row r="8" spans="1:25" ht="23.25" customHeight="1">
      <c r="A8" s="6">
        <v>2</v>
      </c>
      <c r="B8" s="8" t="s">
        <v>79</v>
      </c>
      <c r="C8" s="11">
        <v>14</v>
      </c>
      <c r="D8" s="11">
        <v>1</v>
      </c>
      <c r="E8" s="11"/>
      <c r="F8" s="11">
        <v>1</v>
      </c>
      <c r="G8" s="5">
        <f>8610*12</f>
        <v>103320</v>
      </c>
      <c r="H8" s="5">
        <f>2214*12</f>
        <v>26568</v>
      </c>
      <c r="I8" s="5">
        <f>2720*12</f>
        <v>32640</v>
      </c>
      <c r="J8" s="5">
        <v>12000</v>
      </c>
      <c r="K8" s="5"/>
      <c r="L8" s="5">
        <v>41960</v>
      </c>
      <c r="M8" s="34">
        <v>11531</v>
      </c>
      <c r="N8" s="34">
        <f>G8*20%</f>
        <v>20664</v>
      </c>
      <c r="O8" s="34">
        <f>SUM($G8*10%)</f>
        <v>10332</v>
      </c>
      <c r="P8" s="34">
        <f>SUM($H8+$I8+$J8+$K8+$L8+$M8+$N8+$O8)</f>
        <v>155695</v>
      </c>
      <c r="Q8" s="5">
        <f>G8*12.5%</f>
        <v>12915</v>
      </c>
      <c r="R8" s="5">
        <f>$G8*50%</f>
        <v>51660</v>
      </c>
      <c r="S8" s="5"/>
      <c r="T8" s="88">
        <f>SUM(G8+Q8+P8+R8)</f>
        <v>323590</v>
      </c>
    </row>
    <row r="9" spans="1:25" ht="24" customHeight="1">
      <c r="A9" s="6">
        <v>3</v>
      </c>
      <c r="B9" s="8" t="s">
        <v>51</v>
      </c>
      <c r="C9" s="11">
        <v>9</v>
      </c>
      <c r="D9" s="11">
        <v>1</v>
      </c>
      <c r="E9" s="11"/>
      <c r="F9" s="11">
        <v>1</v>
      </c>
      <c r="G9" s="5">
        <f>16080*6+16460*6</f>
        <v>195240</v>
      </c>
      <c r="H9" s="5">
        <f>1719*12</f>
        <v>20628</v>
      </c>
      <c r="I9" s="5">
        <f>1840*12</f>
        <v>22080</v>
      </c>
      <c r="J9" s="5">
        <v>12000</v>
      </c>
      <c r="K9" s="34"/>
      <c r="L9" s="5">
        <v>56040</v>
      </c>
      <c r="M9" s="34">
        <v>25234.2</v>
      </c>
      <c r="N9" s="34">
        <f>G9*20%</f>
        <v>39048</v>
      </c>
      <c r="O9" s="34">
        <f>SUM($G9*10%)</f>
        <v>19524</v>
      </c>
      <c r="P9" s="34">
        <f>SUM($H9+$I9+$J9+$K9+$L9+$M9+$N9+$O9)</f>
        <v>194554.2</v>
      </c>
      <c r="Q9" s="5">
        <f>G9*12.5%</f>
        <v>24405</v>
      </c>
      <c r="R9" s="5">
        <f>$G9*50%</f>
        <v>97620</v>
      </c>
      <c r="S9" s="5"/>
      <c r="T9" s="88">
        <f>SUM(G9+Q9+P9+R9)</f>
        <v>511819.2</v>
      </c>
    </row>
    <row r="10" spans="1:25" ht="23.25" customHeight="1">
      <c r="A10" s="6">
        <v>4</v>
      </c>
      <c r="B10" s="8" t="s">
        <v>12</v>
      </c>
      <c r="C10" s="11">
        <v>8</v>
      </c>
      <c r="D10" s="11">
        <v>2</v>
      </c>
      <c r="E10" s="11"/>
      <c r="F10" s="11">
        <v>2</v>
      </c>
      <c r="G10" s="5">
        <f>(13350+11600)*6+(13700+11950)*6</f>
        <v>303600</v>
      </c>
      <c r="H10" s="5">
        <f>1649*2*12</f>
        <v>39576</v>
      </c>
      <c r="I10" s="5">
        <f>1840*12*2</f>
        <v>44160</v>
      </c>
      <c r="J10" s="5">
        <v>24000</v>
      </c>
      <c r="K10" s="34"/>
      <c r="L10" s="5">
        <v>84090</v>
      </c>
      <c r="M10" s="34">
        <v>21600</v>
      </c>
      <c r="N10" s="34">
        <f>G10*20%</f>
        <v>60720</v>
      </c>
      <c r="O10" s="34">
        <f>SUM($G10*10%)</f>
        <v>30360</v>
      </c>
      <c r="P10" s="34">
        <f>SUM($H10+$I10+$J10+$K10+$L10+$M10+$N10+$O10)</f>
        <v>304506</v>
      </c>
      <c r="Q10" s="5">
        <f>G10*12.5%</f>
        <v>37950</v>
      </c>
      <c r="R10" s="5">
        <f>$G10*50%</f>
        <v>151800</v>
      </c>
      <c r="S10" s="5"/>
      <c r="T10" s="88">
        <f>SUM(G10+Q10+P10+R10)</f>
        <v>797856</v>
      </c>
    </row>
    <row r="11" spans="1:25" ht="23.25" customHeight="1" thickBot="1">
      <c r="A11" s="6">
        <v>5</v>
      </c>
      <c r="B11" s="36" t="s">
        <v>13</v>
      </c>
      <c r="C11" s="9">
        <v>2</v>
      </c>
      <c r="D11" s="9">
        <v>2</v>
      </c>
      <c r="E11" s="9"/>
      <c r="F11" s="9">
        <v>2</v>
      </c>
      <c r="G11" s="5">
        <f>(8130+9830)*6+(8300+10000)*6</f>
        <v>217560</v>
      </c>
      <c r="H11" s="27">
        <f>1366*2*12</f>
        <v>32784</v>
      </c>
      <c r="I11" s="27">
        <f>1700*2*12</f>
        <v>40800</v>
      </c>
      <c r="J11" s="27">
        <v>24000</v>
      </c>
      <c r="K11" s="61">
        <f>300*2*12</f>
        <v>7200</v>
      </c>
      <c r="L11" s="27">
        <v>62820</v>
      </c>
      <c r="M11" s="5">
        <v>18864</v>
      </c>
      <c r="N11" s="34">
        <f>G11*20%</f>
        <v>43512</v>
      </c>
      <c r="O11" s="34">
        <f>SUM($G11*10%)</f>
        <v>21756</v>
      </c>
      <c r="P11" s="34">
        <f>SUM($H11+$I11+$J11+$K11+$L11+$M11+$N11+$O11)</f>
        <v>251736</v>
      </c>
      <c r="Q11" s="5">
        <f>G11*12.5%</f>
        <v>27195</v>
      </c>
      <c r="R11" s="5">
        <f>$G11*50%</f>
        <v>108780</v>
      </c>
      <c r="S11" s="5"/>
      <c r="T11" s="88">
        <f>SUM(G11+Q11+P11+R11)</f>
        <v>605271</v>
      </c>
    </row>
    <row r="12" spans="1:25" ht="20.100000000000001" customHeight="1" thickBot="1">
      <c r="A12" s="251" t="s">
        <v>1</v>
      </c>
      <c r="B12" s="369"/>
      <c r="C12" s="65"/>
      <c r="D12" s="63">
        <f t="shared" ref="D12:R12" si="0">SUM(D7:D11)</f>
        <v>7</v>
      </c>
      <c r="E12" s="63">
        <f t="shared" si="0"/>
        <v>0</v>
      </c>
      <c r="F12" s="63">
        <f t="shared" si="0"/>
        <v>7</v>
      </c>
      <c r="G12" s="64">
        <f t="shared" si="0"/>
        <v>927720</v>
      </c>
      <c r="H12" s="64">
        <f t="shared" si="0"/>
        <v>119556</v>
      </c>
      <c r="I12" s="64">
        <f t="shared" si="0"/>
        <v>139680</v>
      </c>
      <c r="J12" s="64">
        <f t="shared" si="0"/>
        <v>72000</v>
      </c>
      <c r="K12" s="64">
        <f t="shared" si="0"/>
        <v>7200</v>
      </c>
      <c r="L12" s="64">
        <f t="shared" si="0"/>
        <v>244910</v>
      </c>
      <c r="M12" s="64">
        <f t="shared" si="0"/>
        <v>77229.2</v>
      </c>
      <c r="N12" s="64">
        <f t="shared" si="0"/>
        <v>163944</v>
      </c>
      <c r="O12" s="64">
        <f t="shared" si="0"/>
        <v>81972</v>
      </c>
      <c r="P12" s="64">
        <f>SUM(P7:P11)</f>
        <v>906491.2</v>
      </c>
      <c r="Q12" s="64">
        <f>SUM(Q7:Q11)</f>
        <v>102465</v>
      </c>
      <c r="R12" s="64">
        <f t="shared" si="0"/>
        <v>409860</v>
      </c>
      <c r="S12" s="64">
        <v>35000</v>
      </c>
      <c r="T12" s="64">
        <f>G12+P12+Q12+R12+S12</f>
        <v>2381536.2000000002</v>
      </c>
      <c r="U12" s="40"/>
      <c r="V12" s="40"/>
      <c r="W12" s="40"/>
      <c r="X12" s="40"/>
      <c r="Y12" s="40"/>
    </row>
    <row r="13" spans="1:25" ht="24" customHeight="1" thickBot="1">
      <c r="A13" s="366" t="s">
        <v>41</v>
      </c>
      <c r="B13" s="367"/>
      <c r="C13" s="3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V13" s="39">
        <v>47760</v>
      </c>
    </row>
    <row r="14" spans="1:25" ht="24.75" customHeight="1">
      <c r="A14" s="18">
        <v>1</v>
      </c>
      <c r="B14" s="10" t="s">
        <v>41</v>
      </c>
      <c r="C14" s="52"/>
      <c r="D14" s="45">
        <v>1</v>
      </c>
      <c r="E14" s="45"/>
      <c r="F14" s="45">
        <v>1</v>
      </c>
      <c r="G14" s="5">
        <f>5000*12</f>
        <v>60000</v>
      </c>
      <c r="H14" s="28">
        <v>0</v>
      </c>
      <c r="I14" s="28">
        <v>0</v>
      </c>
      <c r="J14" s="28">
        <v>0</v>
      </c>
      <c r="K14" s="28"/>
      <c r="L14" s="28">
        <v>0</v>
      </c>
      <c r="M14" s="5">
        <v>0</v>
      </c>
      <c r="N14" s="5"/>
      <c r="O14" s="5"/>
      <c r="P14" s="34">
        <f t="shared" ref="P14:P20" si="1">SUM($H14+$I14+$J14+$K14+$L14+$M14+$N14+$O14)</f>
        <v>0</v>
      </c>
      <c r="Q14" s="5">
        <v>0</v>
      </c>
      <c r="R14" s="5">
        <v>0</v>
      </c>
      <c r="S14" s="5"/>
      <c r="T14" s="88">
        <f>G14</f>
        <v>60000</v>
      </c>
      <c r="V14" s="39">
        <v>48780</v>
      </c>
    </row>
    <row r="15" spans="1:25" ht="22.5" customHeight="1">
      <c r="A15" s="6">
        <v>2</v>
      </c>
      <c r="B15" s="8" t="s">
        <v>48</v>
      </c>
      <c r="C15" s="45">
        <v>17</v>
      </c>
      <c r="D15" s="45">
        <v>1</v>
      </c>
      <c r="E15" s="45"/>
      <c r="F15" s="45">
        <v>1</v>
      </c>
      <c r="G15" s="5">
        <f>16000*12</f>
        <v>192000</v>
      </c>
      <c r="H15" s="28">
        <f>4433*12</f>
        <v>53196</v>
      </c>
      <c r="I15" s="28">
        <f>5000*12</f>
        <v>60000</v>
      </c>
      <c r="J15" s="28">
        <v>27054</v>
      </c>
      <c r="K15" s="28"/>
      <c r="L15" s="28">
        <v>134580</v>
      </c>
      <c r="M15" s="34">
        <v>28800</v>
      </c>
      <c r="N15" s="34">
        <f t="shared" ref="N15:N20" si="2">G15*20%</f>
        <v>38400</v>
      </c>
      <c r="O15" s="34">
        <f t="shared" ref="O15:O20" si="3">SUM($G15*10%)</f>
        <v>19200</v>
      </c>
      <c r="P15" s="34">
        <f t="shared" si="1"/>
        <v>361230</v>
      </c>
      <c r="Q15" s="5">
        <f t="shared" ref="Q15:Q20" si="4">G15*12.5%</f>
        <v>24000</v>
      </c>
      <c r="R15" s="5">
        <f t="shared" ref="R15:R20" si="5">$G15*50%</f>
        <v>96000</v>
      </c>
      <c r="S15" s="5"/>
      <c r="T15" s="88">
        <f t="shared" ref="T15:T20" si="6">SUM(G15+Q15+P15+R15)</f>
        <v>673230</v>
      </c>
    </row>
    <row r="16" spans="1:25" ht="22.5" customHeight="1">
      <c r="A16" s="18">
        <v>3</v>
      </c>
      <c r="B16" s="8" t="s">
        <v>29</v>
      </c>
      <c r="C16" s="45">
        <v>16</v>
      </c>
      <c r="D16" s="45">
        <v>1</v>
      </c>
      <c r="E16" s="45"/>
      <c r="F16" s="45">
        <v>1</v>
      </c>
      <c r="G16" s="5">
        <f>24400*6+25200*6</f>
        <v>297600</v>
      </c>
      <c r="H16" s="28">
        <f>2727*12</f>
        <v>32724</v>
      </c>
      <c r="I16" s="28">
        <f>5000*12</f>
        <v>60000</v>
      </c>
      <c r="J16" s="28">
        <v>24867</v>
      </c>
      <c r="K16" s="28"/>
      <c r="L16" s="28">
        <v>81480</v>
      </c>
      <c r="M16" s="34">
        <v>36698.400000000001</v>
      </c>
      <c r="N16" s="34">
        <f t="shared" si="2"/>
        <v>59520</v>
      </c>
      <c r="O16" s="34">
        <f t="shared" si="3"/>
        <v>29760</v>
      </c>
      <c r="P16" s="34">
        <f t="shared" si="1"/>
        <v>325049.40000000002</v>
      </c>
      <c r="Q16" s="5">
        <f t="shared" si="4"/>
        <v>37200</v>
      </c>
      <c r="R16" s="5">
        <f t="shared" si="5"/>
        <v>148800</v>
      </c>
      <c r="S16" s="5"/>
      <c r="T16" s="88">
        <f t="shared" si="6"/>
        <v>808649.4</v>
      </c>
    </row>
    <row r="17" spans="1:20" ht="22.5" customHeight="1">
      <c r="A17" s="6">
        <v>4</v>
      </c>
      <c r="B17" s="70" t="s">
        <v>10</v>
      </c>
      <c r="C17" s="55">
        <v>11</v>
      </c>
      <c r="D17" s="55">
        <v>1</v>
      </c>
      <c r="E17" s="55"/>
      <c r="F17" s="55">
        <v>1</v>
      </c>
      <c r="G17" s="5">
        <f>7980*6+8440*6</f>
        <v>98520</v>
      </c>
      <c r="H17" s="71">
        <f>1852*12</f>
        <v>22224</v>
      </c>
      <c r="I17" s="71">
        <f>2720*12</f>
        <v>32640</v>
      </c>
      <c r="J17" s="71">
        <v>12000</v>
      </c>
      <c r="K17" s="72"/>
      <c r="L17" s="71">
        <v>31290</v>
      </c>
      <c r="M17" s="34">
        <v>13536</v>
      </c>
      <c r="N17" s="34">
        <f t="shared" si="2"/>
        <v>19704</v>
      </c>
      <c r="O17" s="34">
        <f t="shared" si="3"/>
        <v>9852</v>
      </c>
      <c r="P17" s="34">
        <f t="shared" si="1"/>
        <v>141246</v>
      </c>
      <c r="Q17" s="5">
        <f t="shared" si="4"/>
        <v>12315</v>
      </c>
      <c r="R17" s="5">
        <f t="shared" si="5"/>
        <v>49260</v>
      </c>
      <c r="S17" s="5"/>
      <c r="T17" s="88">
        <f t="shared" si="6"/>
        <v>301341</v>
      </c>
    </row>
    <row r="18" spans="1:20" ht="22.5" customHeight="1">
      <c r="A18" s="18">
        <v>5</v>
      </c>
      <c r="B18" s="8" t="s">
        <v>16</v>
      </c>
      <c r="C18" s="45">
        <v>9</v>
      </c>
      <c r="D18" s="45">
        <v>1</v>
      </c>
      <c r="E18" s="45"/>
      <c r="F18" s="45">
        <v>1</v>
      </c>
      <c r="G18" s="5">
        <f>6580*12</f>
        <v>78960</v>
      </c>
      <c r="H18" s="28">
        <f>1719*12</f>
        <v>20628</v>
      </c>
      <c r="I18" s="28">
        <f>1840*12</f>
        <v>22080</v>
      </c>
      <c r="J18" s="28">
        <v>12000</v>
      </c>
      <c r="K18" s="29"/>
      <c r="L18" s="28">
        <v>56040</v>
      </c>
      <c r="M18" s="34">
        <v>11160</v>
      </c>
      <c r="N18" s="34">
        <f t="shared" si="2"/>
        <v>15792</v>
      </c>
      <c r="O18" s="34">
        <f t="shared" si="3"/>
        <v>7896</v>
      </c>
      <c r="P18" s="34">
        <f t="shared" si="1"/>
        <v>145596</v>
      </c>
      <c r="Q18" s="5">
        <f t="shared" si="4"/>
        <v>9870</v>
      </c>
      <c r="R18" s="5">
        <f t="shared" si="5"/>
        <v>39480</v>
      </c>
      <c r="S18" s="5"/>
      <c r="T18" s="88">
        <f t="shared" si="6"/>
        <v>273906</v>
      </c>
    </row>
    <row r="19" spans="1:20" ht="22.5" customHeight="1">
      <c r="A19" s="6">
        <v>6</v>
      </c>
      <c r="B19" s="8" t="s">
        <v>11</v>
      </c>
      <c r="C19" s="45">
        <v>7</v>
      </c>
      <c r="D19" s="45">
        <v>1</v>
      </c>
      <c r="E19" s="45"/>
      <c r="F19" s="45">
        <v>1</v>
      </c>
      <c r="G19" s="5">
        <f>6760*6+7080*6</f>
        <v>83040</v>
      </c>
      <c r="H19" s="28">
        <f>1589*12</f>
        <v>19068</v>
      </c>
      <c r="I19" s="28">
        <f>1840*12</f>
        <v>22080</v>
      </c>
      <c r="J19" s="28">
        <v>12000</v>
      </c>
      <c r="K19" s="29"/>
      <c r="L19" s="28">
        <v>26880</v>
      </c>
      <c r="M19" s="34">
        <v>11592</v>
      </c>
      <c r="N19" s="34">
        <f t="shared" si="2"/>
        <v>16608</v>
      </c>
      <c r="O19" s="34">
        <f t="shared" si="3"/>
        <v>8304</v>
      </c>
      <c r="P19" s="34">
        <f t="shared" si="1"/>
        <v>116532</v>
      </c>
      <c r="Q19" s="5">
        <f t="shared" si="4"/>
        <v>10380</v>
      </c>
      <c r="R19" s="5">
        <f t="shared" si="5"/>
        <v>41520</v>
      </c>
      <c r="S19" s="5"/>
      <c r="T19" s="88">
        <f t="shared" si="6"/>
        <v>251472</v>
      </c>
    </row>
    <row r="20" spans="1:20" ht="22.5" customHeight="1" thickBot="1">
      <c r="A20" s="18">
        <v>7</v>
      </c>
      <c r="B20" s="8" t="s">
        <v>13</v>
      </c>
      <c r="C20" s="45">
        <v>2</v>
      </c>
      <c r="D20" s="45">
        <v>3</v>
      </c>
      <c r="E20" s="45"/>
      <c r="F20" s="45">
        <v>3</v>
      </c>
      <c r="G20" s="5">
        <f>(5410*2+4900)*6+(5580*2+4900)*6</f>
        <v>190680</v>
      </c>
      <c r="H20" s="28">
        <f>1366*3*12</f>
        <v>49176</v>
      </c>
      <c r="I20" s="28">
        <f>1700*3*12</f>
        <v>61200</v>
      </c>
      <c r="J20" s="28">
        <v>36000</v>
      </c>
      <c r="K20" s="29">
        <f>300*3*12</f>
        <v>10800</v>
      </c>
      <c r="L20" s="28">
        <v>63990</v>
      </c>
      <c r="M20" s="34">
        <v>9432</v>
      </c>
      <c r="N20" s="34">
        <f t="shared" si="2"/>
        <v>38136</v>
      </c>
      <c r="O20" s="34">
        <f t="shared" si="3"/>
        <v>19068</v>
      </c>
      <c r="P20" s="34">
        <f t="shared" si="1"/>
        <v>287802</v>
      </c>
      <c r="Q20" s="5">
        <f t="shared" si="4"/>
        <v>23835</v>
      </c>
      <c r="R20" s="5">
        <f t="shared" si="5"/>
        <v>95340</v>
      </c>
      <c r="S20" s="5"/>
      <c r="T20" s="88">
        <f t="shared" si="6"/>
        <v>597657</v>
      </c>
    </row>
    <row r="21" spans="1:20" ht="20.100000000000001" customHeight="1" thickBot="1">
      <c r="A21" s="359" t="s">
        <v>1</v>
      </c>
      <c r="B21" s="360"/>
      <c r="C21" s="73"/>
      <c r="D21" s="58">
        <f>SUM(D14:D20)</f>
        <v>9</v>
      </c>
      <c r="E21" s="58">
        <f>SUM(E14:E20)</f>
        <v>0</v>
      </c>
      <c r="F21" s="58">
        <f>SUM(F14:F20)</f>
        <v>9</v>
      </c>
      <c r="G21" s="87">
        <f>SUM(G14:G20)</f>
        <v>1000800</v>
      </c>
      <c r="H21" s="87">
        <f t="shared" ref="H21:R21" si="7">SUM(H14:H20)</f>
        <v>197016</v>
      </c>
      <c r="I21" s="87">
        <f t="shared" si="7"/>
        <v>258000</v>
      </c>
      <c r="J21" s="87">
        <f t="shared" si="7"/>
        <v>123921</v>
      </c>
      <c r="K21" s="87">
        <f t="shared" si="7"/>
        <v>10800</v>
      </c>
      <c r="L21" s="87">
        <f t="shared" si="7"/>
        <v>394260</v>
      </c>
      <c r="M21" s="87">
        <f t="shared" si="7"/>
        <v>111218.4</v>
      </c>
      <c r="N21" s="87">
        <f t="shared" si="7"/>
        <v>188160</v>
      </c>
      <c r="O21" s="87">
        <f t="shared" si="7"/>
        <v>94080</v>
      </c>
      <c r="P21" s="87">
        <f t="shared" si="7"/>
        <v>1377455.4</v>
      </c>
      <c r="Q21" s="87">
        <f>SUM(Q14:Q20)</f>
        <v>117600</v>
      </c>
      <c r="R21" s="87">
        <f t="shared" si="7"/>
        <v>470400</v>
      </c>
      <c r="S21" s="87">
        <v>50000</v>
      </c>
      <c r="T21" s="87">
        <f>G21+P21+Q21+R21+S21</f>
        <v>3016255.4</v>
      </c>
    </row>
    <row r="22" spans="1:20" ht="24" customHeight="1" thickBot="1">
      <c r="A22" s="366" t="s">
        <v>17</v>
      </c>
      <c r="B22" s="367"/>
      <c r="C22" s="368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24.75" customHeight="1">
      <c r="A23" s="17">
        <v>1</v>
      </c>
      <c r="B23" s="10" t="s">
        <v>42</v>
      </c>
      <c r="C23" s="52">
        <v>19</v>
      </c>
      <c r="D23" s="45">
        <v>1</v>
      </c>
      <c r="E23" s="45"/>
      <c r="F23" s="45">
        <v>1</v>
      </c>
      <c r="G23" s="5">
        <f>38000*6+39500*6</f>
        <v>465000</v>
      </c>
      <c r="H23" s="28">
        <f>8856*12</f>
        <v>106272</v>
      </c>
      <c r="I23" s="28">
        <f>5000*12</f>
        <v>60000</v>
      </c>
      <c r="J23" s="28">
        <f>2699*12</f>
        <v>32388</v>
      </c>
      <c r="K23" s="29"/>
      <c r="L23" s="29">
        <v>88580</v>
      </c>
      <c r="M23" s="34">
        <v>23309</v>
      </c>
      <c r="N23" s="34">
        <f t="shared" ref="N23:N34" si="8">G23*20%</f>
        <v>93000</v>
      </c>
      <c r="O23" s="34">
        <f t="shared" ref="O23:O34" si="9">SUM($G23*10%)</f>
        <v>46500</v>
      </c>
      <c r="P23" s="34">
        <f t="shared" ref="P23:P34" si="10">SUM($H23+$I23+$J23+$K23+$L23+$M23+$N23+$O23)</f>
        <v>450049</v>
      </c>
      <c r="Q23" s="5">
        <f t="shared" ref="Q23:Q34" si="11">G23*12.5%</f>
        <v>58125</v>
      </c>
      <c r="R23" s="5">
        <f t="shared" ref="R23:R34" si="12">$G23*50%</f>
        <v>232500</v>
      </c>
      <c r="S23" s="5"/>
      <c r="T23" s="88">
        <f t="shared" ref="T23:T34" si="13">SUM(G23+Q23+P23+R23)</f>
        <v>1205674</v>
      </c>
    </row>
    <row r="24" spans="1:20" ht="24.75" customHeight="1">
      <c r="A24" s="7">
        <v>2</v>
      </c>
      <c r="B24" s="5" t="s">
        <v>18</v>
      </c>
      <c r="C24" s="45">
        <v>17</v>
      </c>
      <c r="D24" s="45">
        <v>1</v>
      </c>
      <c r="E24" s="45"/>
      <c r="F24" s="45">
        <v>1</v>
      </c>
      <c r="G24" s="5">
        <f>16000*12</f>
        <v>192000</v>
      </c>
      <c r="H24" s="28">
        <f>4433*12</f>
        <v>53196</v>
      </c>
      <c r="I24" s="28">
        <f>5000*12</f>
        <v>60000</v>
      </c>
      <c r="J24" s="28">
        <v>26559</v>
      </c>
      <c r="K24" s="29"/>
      <c r="L24" s="29">
        <v>81300</v>
      </c>
      <c r="M24" s="34">
        <v>17199</v>
      </c>
      <c r="N24" s="34">
        <f t="shared" si="8"/>
        <v>38400</v>
      </c>
      <c r="O24" s="34">
        <f t="shared" si="9"/>
        <v>19200</v>
      </c>
      <c r="P24" s="34">
        <f t="shared" si="10"/>
        <v>295854</v>
      </c>
      <c r="Q24" s="5">
        <f t="shared" si="11"/>
        <v>24000</v>
      </c>
      <c r="R24" s="5">
        <f t="shared" si="12"/>
        <v>96000</v>
      </c>
      <c r="S24" s="5"/>
      <c r="T24" s="88">
        <f t="shared" si="13"/>
        <v>607854</v>
      </c>
    </row>
    <row r="25" spans="1:20" ht="24.75" customHeight="1">
      <c r="A25" s="17">
        <v>3</v>
      </c>
      <c r="B25" s="8" t="s">
        <v>49</v>
      </c>
      <c r="C25" s="45">
        <v>15</v>
      </c>
      <c r="D25" s="45">
        <v>1</v>
      </c>
      <c r="E25" s="45"/>
      <c r="F25" s="45">
        <v>1</v>
      </c>
      <c r="G25" s="5">
        <f>8500*12</f>
        <v>102000</v>
      </c>
      <c r="H25" s="28">
        <f>2349*12</f>
        <v>28188</v>
      </c>
      <c r="I25" s="28">
        <f>2720*12</f>
        <v>32640</v>
      </c>
      <c r="J25" s="28">
        <v>12000</v>
      </c>
      <c r="K25" s="29"/>
      <c r="L25" s="29">
        <v>68460</v>
      </c>
      <c r="M25" s="34">
        <v>15300</v>
      </c>
      <c r="N25" s="34">
        <f t="shared" si="8"/>
        <v>20400</v>
      </c>
      <c r="O25" s="34">
        <f t="shared" si="9"/>
        <v>10200</v>
      </c>
      <c r="P25" s="34">
        <f t="shared" si="10"/>
        <v>187188</v>
      </c>
      <c r="Q25" s="5">
        <f t="shared" si="11"/>
        <v>12750</v>
      </c>
      <c r="R25" s="5">
        <f t="shared" si="12"/>
        <v>51000</v>
      </c>
      <c r="S25" s="5"/>
      <c r="T25" s="88">
        <f t="shared" si="13"/>
        <v>352938</v>
      </c>
    </row>
    <row r="26" spans="1:20" ht="27" customHeight="1">
      <c r="A26" s="7">
        <v>4</v>
      </c>
      <c r="B26" s="5" t="s">
        <v>74</v>
      </c>
      <c r="C26" s="45">
        <v>15</v>
      </c>
      <c r="D26" s="45">
        <v>1</v>
      </c>
      <c r="E26" s="45"/>
      <c r="F26" s="45">
        <v>1</v>
      </c>
      <c r="G26" s="5">
        <f>8500*12</f>
        <v>102000</v>
      </c>
      <c r="H26" s="28">
        <f>2349*12</f>
        <v>28188</v>
      </c>
      <c r="I26" s="28">
        <f>2720*12</f>
        <v>32640</v>
      </c>
      <c r="J26" s="28">
        <v>12000</v>
      </c>
      <c r="K26" s="29"/>
      <c r="L26" s="29">
        <v>43920</v>
      </c>
      <c r="M26" s="34">
        <v>15203</v>
      </c>
      <c r="N26" s="34">
        <f t="shared" si="8"/>
        <v>20400</v>
      </c>
      <c r="O26" s="34">
        <f t="shared" si="9"/>
        <v>10200</v>
      </c>
      <c r="P26" s="34">
        <f t="shared" si="10"/>
        <v>162551</v>
      </c>
      <c r="Q26" s="5">
        <f t="shared" si="11"/>
        <v>12750</v>
      </c>
      <c r="R26" s="5">
        <f t="shared" si="12"/>
        <v>51000</v>
      </c>
      <c r="S26" s="5"/>
      <c r="T26" s="88">
        <f t="shared" si="13"/>
        <v>328301</v>
      </c>
    </row>
    <row r="27" spans="1:20" ht="24.75" customHeight="1">
      <c r="A27" s="17">
        <v>5</v>
      </c>
      <c r="B27" s="8" t="s">
        <v>50</v>
      </c>
      <c r="C27" s="45">
        <v>14</v>
      </c>
      <c r="D27" s="45">
        <v>1</v>
      </c>
      <c r="E27" s="45"/>
      <c r="F27" s="45">
        <v>1</v>
      </c>
      <c r="G27" s="5">
        <f>15320*6+15930*6</f>
        <v>187500</v>
      </c>
      <c r="H27" s="28">
        <f>2214*12</f>
        <v>26568</v>
      </c>
      <c r="I27" s="28">
        <f>2720*12</f>
        <v>32640</v>
      </c>
      <c r="J27" s="28">
        <v>12000</v>
      </c>
      <c r="K27" s="29"/>
      <c r="L27" s="29">
        <v>51690</v>
      </c>
      <c r="M27" s="34">
        <v>19195.2</v>
      </c>
      <c r="N27" s="34">
        <f t="shared" si="8"/>
        <v>37500</v>
      </c>
      <c r="O27" s="34">
        <f t="shared" si="9"/>
        <v>18750</v>
      </c>
      <c r="P27" s="34">
        <f t="shared" si="10"/>
        <v>198343.2</v>
      </c>
      <c r="Q27" s="5">
        <f t="shared" si="11"/>
        <v>23437.5</v>
      </c>
      <c r="R27" s="5">
        <f t="shared" si="12"/>
        <v>93750</v>
      </c>
      <c r="S27" s="5"/>
      <c r="T27" s="88">
        <f t="shared" si="13"/>
        <v>503030.7</v>
      </c>
    </row>
    <row r="28" spans="1:20" ht="24.75" customHeight="1">
      <c r="A28" s="7">
        <v>6</v>
      </c>
      <c r="B28" s="5" t="s">
        <v>10</v>
      </c>
      <c r="C28" s="45">
        <v>11</v>
      </c>
      <c r="D28" s="45">
        <v>1</v>
      </c>
      <c r="E28" s="45"/>
      <c r="F28" s="45">
        <v>1</v>
      </c>
      <c r="G28" s="5">
        <f>7980*6+8440*6</f>
        <v>98520</v>
      </c>
      <c r="H28" s="28">
        <f>1852*12</f>
        <v>22224</v>
      </c>
      <c r="I28" s="28">
        <f>2720*12</f>
        <v>32640</v>
      </c>
      <c r="J28" s="28">
        <v>12000</v>
      </c>
      <c r="K28" s="29"/>
      <c r="L28" s="29">
        <v>31290</v>
      </c>
      <c r="M28" s="34">
        <v>13536</v>
      </c>
      <c r="N28" s="34">
        <f t="shared" si="8"/>
        <v>19704</v>
      </c>
      <c r="O28" s="34">
        <f t="shared" si="9"/>
        <v>9852</v>
      </c>
      <c r="P28" s="34">
        <f t="shared" si="10"/>
        <v>141246</v>
      </c>
      <c r="Q28" s="5">
        <f t="shared" si="11"/>
        <v>12315</v>
      </c>
      <c r="R28" s="5">
        <f t="shared" si="12"/>
        <v>49260</v>
      </c>
      <c r="S28" s="5"/>
      <c r="T28" s="88">
        <f t="shared" si="13"/>
        <v>301341</v>
      </c>
    </row>
    <row r="29" spans="1:20" ht="24.75" customHeight="1">
      <c r="A29" s="17">
        <v>7</v>
      </c>
      <c r="B29" s="8" t="s">
        <v>51</v>
      </c>
      <c r="C29" s="45">
        <v>9</v>
      </c>
      <c r="D29" s="45">
        <v>1</v>
      </c>
      <c r="E29" s="45"/>
      <c r="F29" s="45">
        <v>1</v>
      </c>
      <c r="G29" s="5">
        <f>6960*12</f>
        <v>83520</v>
      </c>
      <c r="H29" s="28">
        <f>1719*12</f>
        <v>20628</v>
      </c>
      <c r="I29" s="28">
        <f>1840*12</f>
        <v>22080</v>
      </c>
      <c r="J29" s="28">
        <v>12000</v>
      </c>
      <c r="K29" s="29"/>
      <c r="L29" s="29">
        <v>39480</v>
      </c>
      <c r="M29" s="34">
        <v>11160</v>
      </c>
      <c r="N29" s="34">
        <f t="shared" si="8"/>
        <v>16704</v>
      </c>
      <c r="O29" s="34">
        <f t="shared" si="9"/>
        <v>8352</v>
      </c>
      <c r="P29" s="34">
        <f t="shared" si="10"/>
        <v>130404</v>
      </c>
      <c r="Q29" s="5">
        <f t="shared" si="11"/>
        <v>10440</v>
      </c>
      <c r="R29" s="5">
        <f t="shared" si="12"/>
        <v>41760</v>
      </c>
      <c r="S29" s="5"/>
      <c r="T29" s="88">
        <f t="shared" si="13"/>
        <v>266124</v>
      </c>
    </row>
    <row r="30" spans="1:20" ht="24.75" customHeight="1">
      <c r="A30" s="7">
        <v>8</v>
      </c>
      <c r="B30" s="8" t="s">
        <v>12</v>
      </c>
      <c r="C30" s="45">
        <v>8</v>
      </c>
      <c r="D30" s="45">
        <v>1</v>
      </c>
      <c r="E30" s="45"/>
      <c r="F30" s="45">
        <v>1</v>
      </c>
      <c r="G30" s="5">
        <f>13700*6+14050*6</f>
        <v>166500</v>
      </c>
      <c r="H30" s="28">
        <f>1649*12</f>
        <v>19788</v>
      </c>
      <c r="I30" s="28">
        <f>1840*12</f>
        <v>22080</v>
      </c>
      <c r="J30" s="28">
        <v>12000</v>
      </c>
      <c r="K30" s="29"/>
      <c r="L30" s="29">
        <v>47190</v>
      </c>
      <c r="M30" s="34">
        <v>21600</v>
      </c>
      <c r="N30" s="34">
        <f t="shared" si="8"/>
        <v>33300</v>
      </c>
      <c r="O30" s="34">
        <f t="shared" si="9"/>
        <v>16650</v>
      </c>
      <c r="P30" s="34">
        <f t="shared" si="10"/>
        <v>172608</v>
      </c>
      <c r="Q30" s="5">
        <f t="shared" si="11"/>
        <v>20812.5</v>
      </c>
      <c r="R30" s="5">
        <f t="shared" si="12"/>
        <v>83250</v>
      </c>
      <c r="S30" s="5"/>
      <c r="T30" s="88">
        <f t="shared" si="13"/>
        <v>443170.5</v>
      </c>
    </row>
    <row r="31" spans="1:20" ht="24.75" customHeight="1">
      <c r="A31" s="17">
        <v>9</v>
      </c>
      <c r="B31" s="8" t="s">
        <v>11</v>
      </c>
      <c r="C31" s="45">
        <v>7</v>
      </c>
      <c r="D31" s="45">
        <v>2</v>
      </c>
      <c r="E31" s="45"/>
      <c r="F31" s="45">
        <v>2</v>
      </c>
      <c r="G31" s="5">
        <f>(10920+6760)*6+(11240+7080)*6</f>
        <v>216000</v>
      </c>
      <c r="H31" s="28">
        <f>1589*2*12</f>
        <v>38136</v>
      </c>
      <c r="I31" s="28">
        <f>1840*12*2</f>
        <v>44160</v>
      </c>
      <c r="J31" s="28">
        <v>24000</v>
      </c>
      <c r="K31" s="29"/>
      <c r="L31" s="29">
        <v>53760</v>
      </c>
      <c r="M31" s="34">
        <v>25488</v>
      </c>
      <c r="N31" s="34">
        <f t="shared" si="8"/>
        <v>43200</v>
      </c>
      <c r="O31" s="34">
        <f t="shared" si="9"/>
        <v>21600</v>
      </c>
      <c r="P31" s="34">
        <f t="shared" si="10"/>
        <v>250344</v>
      </c>
      <c r="Q31" s="5">
        <f t="shared" si="11"/>
        <v>27000</v>
      </c>
      <c r="R31" s="5">
        <f t="shared" si="12"/>
        <v>108000</v>
      </c>
      <c r="S31" s="5"/>
      <c r="T31" s="88">
        <f t="shared" si="13"/>
        <v>601344</v>
      </c>
    </row>
    <row r="32" spans="1:20" ht="24.75" customHeight="1">
      <c r="A32" s="7">
        <v>10</v>
      </c>
      <c r="B32" s="8" t="s">
        <v>13</v>
      </c>
      <c r="C32" s="45">
        <v>2</v>
      </c>
      <c r="D32" s="45">
        <v>6</v>
      </c>
      <c r="E32" s="45"/>
      <c r="F32" s="45">
        <v>6</v>
      </c>
      <c r="G32" s="5">
        <f>SUM(9660+9830+10340+4900+4900+4900)*6+(9830+10000+10510+4900+4900+4900)*6</f>
        <v>537420</v>
      </c>
      <c r="H32" s="28">
        <f>1366*6*12</f>
        <v>98352</v>
      </c>
      <c r="I32" s="28">
        <f>1700*6*12</f>
        <v>122400</v>
      </c>
      <c r="J32" s="28">
        <v>72000</v>
      </c>
      <c r="K32" s="29">
        <f>300*6*12</f>
        <v>21600</v>
      </c>
      <c r="L32" s="29">
        <v>202260</v>
      </c>
      <c r="M32" s="34">
        <v>80202</v>
      </c>
      <c r="N32" s="34">
        <f t="shared" si="8"/>
        <v>107484</v>
      </c>
      <c r="O32" s="34">
        <f t="shared" si="9"/>
        <v>53742</v>
      </c>
      <c r="P32" s="34">
        <f t="shared" si="10"/>
        <v>758040</v>
      </c>
      <c r="Q32" s="5">
        <f t="shared" si="11"/>
        <v>67177.5</v>
      </c>
      <c r="R32" s="5">
        <f t="shared" si="12"/>
        <v>268710</v>
      </c>
      <c r="S32" s="5"/>
      <c r="T32" s="88">
        <f t="shared" si="13"/>
        <v>1631347.5</v>
      </c>
    </row>
    <row r="33" spans="1:20" ht="24.75" customHeight="1">
      <c r="A33" s="17">
        <v>11</v>
      </c>
      <c r="B33" s="8" t="s">
        <v>19</v>
      </c>
      <c r="C33" s="45">
        <v>2</v>
      </c>
      <c r="D33" s="45">
        <v>3</v>
      </c>
      <c r="E33" s="45"/>
      <c r="F33" s="45">
        <v>3</v>
      </c>
      <c r="G33" s="5">
        <f>SUM(4900+4900+4900)*6+(4900+4900+4900)*6</f>
        <v>176400</v>
      </c>
      <c r="H33" s="28">
        <f>1366*3*12</f>
        <v>49176</v>
      </c>
      <c r="I33" s="28">
        <f>1700*3*12</f>
        <v>61200</v>
      </c>
      <c r="J33" s="28">
        <v>36000</v>
      </c>
      <c r="K33" s="29">
        <f>300*3*12</f>
        <v>10800</v>
      </c>
      <c r="L33" s="29">
        <v>106830</v>
      </c>
      <c r="M33" s="34">
        <v>29214</v>
      </c>
      <c r="N33" s="34">
        <f t="shared" si="8"/>
        <v>35280</v>
      </c>
      <c r="O33" s="34">
        <f t="shared" si="9"/>
        <v>17640</v>
      </c>
      <c r="P33" s="34">
        <f t="shared" si="10"/>
        <v>346140</v>
      </c>
      <c r="Q33" s="5">
        <f t="shared" si="11"/>
        <v>22050</v>
      </c>
      <c r="R33" s="5">
        <f t="shared" si="12"/>
        <v>88200</v>
      </c>
      <c r="S33" s="5"/>
      <c r="T33" s="88">
        <f t="shared" si="13"/>
        <v>632790</v>
      </c>
    </row>
    <row r="34" spans="1:20" ht="24.75" customHeight="1" thickBot="1">
      <c r="A34" s="6">
        <v>12</v>
      </c>
      <c r="B34" s="36" t="s">
        <v>20</v>
      </c>
      <c r="C34" s="55">
        <v>2</v>
      </c>
      <c r="D34" s="55">
        <v>3</v>
      </c>
      <c r="E34" s="55"/>
      <c r="F34" s="55">
        <v>3</v>
      </c>
      <c r="G34" s="5">
        <f>SUM(7960+4900+4900)*6+(8130+4900+4900)*6</f>
        <v>214140</v>
      </c>
      <c r="H34" s="28">
        <f>1366*3*12</f>
        <v>49176</v>
      </c>
      <c r="I34" s="28">
        <f>1700*3*12</f>
        <v>61200</v>
      </c>
      <c r="J34" s="71">
        <v>36000</v>
      </c>
      <c r="K34" s="72">
        <f>300*3*12</f>
        <v>10800</v>
      </c>
      <c r="L34" s="72">
        <v>83430</v>
      </c>
      <c r="M34" s="34">
        <v>28296</v>
      </c>
      <c r="N34" s="34">
        <f t="shared" si="8"/>
        <v>42828</v>
      </c>
      <c r="O34" s="34">
        <f t="shared" si="9"/>
        <v>21414</v>
      </c>
      <c r="P34" s="34">
        <f t="shared" si="10"/>
        <v>333144</v>
      </c>
      <c r="Q34" s="5">
        <f t="shared" si="11"/>
        <v>26767.5</v>
      </c>
      <c r="R34" s="5">
        <f t="shared" si="12"/>
        <v>107070</v>
      </c>
      <c r="S34" s="5"/>
      <c r="T34" s="88">
        <f t="shared" si="13"/>
        <v>681121.5</v>
      </c>
    </row>
    <row r="35" spans="1:20" ht="20.100000000000001" customHeight="1" thickBot="1">
      <c r="A35" s="359" t="s">
        <v>1</v>
      </c>
      <c r="B35" s="360"/>
      <c r="C35" s="60"/>
      <c r="D35" s="58">
        <f>SUM(D23:D34)</f>
        <v>22</v>
      </c>
      <c r="E35" s="58">
        <f>SUM(E23:E34)</f>
        <v>0</v>
      </c>
      <c r="F35" s="58">
        <f>SUM(F23:F34)</f>
        <v>22</v>
      </c>
      <c r="G35" s="87">
        <f>SUM(G23:G34)</f>
        <v>2541000</v>
      </c>
      <c r="H35" s="87">
        <f t="shared" ref="H35:R35" si="14">SUM(H23:H34)</f>
        <v>539892</v>
      </c>
      <c r="I35" s="87">
        <f t="shared" si="14"/>
        <v>583680</v>
      </c>
      <c r="J35" s="87">
        <f t="shared" si="14"/>
        <v>298947</v>
      </c>
      <c r="K35" s="87">
        <f t="shared" si="14"/>
        <v>43200</v>
      </c>
      <c r="L35" s="87">
        <f t="shared" si="14"/>
        <v>898190</v>
      </c>
      <c r="M35" s="87">
        <f t="shared" si="14"/>
        <v>299702.2</v>
      </c>
      <c r="N35" s="87">
        <f t="shared" si="14"/>
        <v>508200</v>
      </c>
      <c r="O35" s="87">
        <f t="shared" si="14"/>
        <v>254100</v>
      </c>
      <c r="P35" s="87">
        <f t="shared" si="14"/>
        <v>3425911.2</v>
      </c>
      <c r="Q35" s="87">
        <f>SUM(Q23:Q34)</f>
        <v>317625</v>
      </c>
      <c r="R35" s="87">
        <f t="shared" si="14"/>
        <v>1270500</v>
      </c>
      <c r="S35" s="87">
        <v>100000</v>
      </c>
      <c r="T35" s="87">
        <f>G35+P35+Q35+R35+S35</f>
        <v>7655036.2000000002</v>
      </c>
    </row>
    <row r="36" spans="1:20" ht="24" customHeight="1" thickBot="1">
      <c r="A36" s="361" t="s">
        <v>37</v>
      </c>
      <c r="B36" s="362"/>
      <c r="C36" s="363"/>
      <c r="D36" s="62"/>
      <c r="E36" s="62"/>
      <c r="F36" s="62"/>
      <c r="G36" s="5"/>
      <c r="H36" s="62"/>
      <c r="I36" s="62"/>
      <c r="J36" s="37"/>
      <c r="K36" s="37"/>
      <c r="L36" s="37"/>
      <c r="M36" s="37"/>
      <c r="N36" s="37"/>
      <c r="O36" s="37"/>
      <c r="P36" s="37"/>
      <c r="Q36" s="44"/>
      <c r="R36" s="62"/>
      <c r="S36" s="62"/>
      <c r="T36" s="62"/>
    </row>
    <row r="37" spans="1:20" ht="24.75" customHeight="1">
      <c r="A37" s="17">
        <v>1</v>
      </c>
      <c r="B37" s="10" t="s">
        <v>37</v>
      </c>
      <c r="C37" s="52">
        <v>18</v>
      </c>
      <c r="D37" s="45">
        <v>1</v>
      </c>
      <c r="E37" s="45"/>
      <c r="F37" s="45">
        <v>1</v>
      </c>
      <c r="G37" s="5">
        <f>32000*12</f>
        <v>384000</v>
      </c>
      <c r="H37" s="28">
        <f>5810*12</f>
        <v>69720</v>
      </c>
      <c r="I37" s="28">
        <f>5000*12</f>
        <v>60000</v>
      </c>
      <c r="J37" s="28">
        <v>31608</v>
      </c>
      <c r="K37" s="29"/>
      <c r="L37" s="29">
        <v>87199</v>
      </c>
      <c r="M37" s="34">
        <v>27411</v>
      </c>
      <c r="N37" s="34">
        <f t="shared" ref="N37:N52" si="15">G37*20%</f>
        <v>76800</v>
      </c>
      <c r="O37" s="34">
        <f t="shared" ref="O37:O52" si="16">SUM($G37*10%)</f>
        <v>38400</v>
      </c>
      <c r="P37" s="34">
        <f t="shared" ref="P37:P52" si="17">SUM($H37+$I37+$J37+$K37+$L37+$M37+$N37+$O37)</f>
        <v>391138</v>
      </c>
      <c r="Q37" s="5">
        <f t="shared" ref="Q37:Q52" si="18">G37*12.5%</f>
        <v>48000</v>
      </c>
      <c r="R37" s="5">
        <f t="shared" ref="R37:R52" si="19">$G37*50%</f>
        <v>192000</v>
      </c>
      <c r="S37" s="5"/>
      <c r="T37" s="88">
        <f t="shared" ref="T37:T52" si="20">SUM(G37+Q37+P37+R37)</f>
        <v>1015138</v>
      </c>
    </row>
    <row r="38" spans="1:20" ht="24.75" customHeight="1">
      <c r="A38" s="7">
        <v>2</v>
      </c>
      <c r="B38" s="5" t="s">
        <v>61</v>
      </c>
      <c r="C38" s="45">
        <v>18</v>
      </c>
      <c r="D38" s="45">
        <v>1</v>
      </c>
      <c r="E38" s="45"/>
      <c r="F38" s="45">
        <v>1</v>
      </c>
      <c r="G38" s="5">
        <f>42000*12</f>
        <v>504000</v>
      </c>
      <c r="H38" s="28">
        <f>5810*12</f>
        <v>69720</v>
      </c>
      <c r="I38" s="28">
        <f>5000*12</f>
        <v>60000</v>
      </c>
      <c r="J38" s="28">
        <v>31608</v>
      </c>
      <c r="K38" s="29"/>
      <c r="L38" s="29">
        <v>156780</v>
      </c>
      <c r="M38" s="34">
        <v>49855.199999999997</v>
      </c>
      <c r="N38" s="34">
        <f t="shared" si="15"/>
        <v>100800</v>
      </c>
      <c r="O38" s="34">
        <f t="shared" si="16"/>
        <v>50400</v>
      </c>
      <c r="P38" s="34">
        <f t="shared" si="17"/>
        <v>519163.2</v>
      </c>
      <c r="Q38" s="5">
        <f t="shared" si="18"/>
        <v>63000</v>
      </c>
      <c r="R38" s="5">
        <f t="shared" si="19"/>
        <v>252000</v>
      </c>
      <c r="S38" s="5"/>
      <c r="T38" s="88">
        <f t="shared" si="20"/>
        <v>1338163.2</v>
      </c>
    </row>
    <row r="39" spans="1:20" ht="24.75" customHeight="1">
      <c r="A39" s="17">
        <v>3</v>
      </c>
      <c r="B39" s="5" t="s">
        <v>71</v>
      </c>
      <c r="C39" s="45">
        <v>16</v>
      </c>
      <c r="D39" s="45">
        <v>1</v>
      </c>
      <c r="E39" s="45"/>
      <c r="F39" s="45">
        <v>1</v>
      </c>
      <c r="G39" s="5">
        <f>16000*12</f>
        <v>192000</v>
      </c>
      <c r="H39" s="28">
        <v>32724</v>
      </c>
      <c r="I39" s="28">
        <f>5000*12</f>
        <v>60000</v>
      </c>
      <c r="J39" s="28">
        <v>16830</v>
      </c>
      <c r="K39" s="29"/>
      <c r="L39" s="29">
        <v>84300</v>
      </c>
      <c r="M39" s="34">
        <v>28800</v>
      </c>
      <c r="N39" s="34">
        <f t="shared" si="15"/>
        <v>38400</v>
      </c>
      <c r="O39" s="34">
        <f t="shared" si="16"/>
        <v>19200</v>
      </c>
      <c r="P39" s="34">
        <f t="shared" si="17"/>
        <v>280254</v>
      </c>
      <c r="Q39" s="5">
        <f t="shared" si="18"/>
        <v>24000</v>
      </c>
      <c r="R39" s="5">
        <f t="shared" si="19"/>
        <v>96000</v>
      </c>
      <c r="S39" s="5"/>
      <c r="T39" s="88">
        <f t="shared" si="20"/>
        <v>592254</v>
      </c>
    </row>
    <row r="40" spans="1:20" ht="24.75" customHeight="1">
      <c r="A40" s="7">
        <v>4</v>
      </c>
      <c r="B40" s="5" t="s">
        <v>59</v>
      </c>
      <c r="C40" s="45">
        <v>15</v>
      </c>
      <c r="D40" s="45">
        <v>1</v>
      </c>
      <c r="E40" s="45"/>
      <c r="F40" s="45">
        <v>1</v>
      </c>
      <c r="G40" s="5">
        <f>8500*12</f>
        <v>102000</v>
      </c>
      <c r="H40" s="28">
        <f>2349*12</f>
        <v>28188</v>
      </c>
      <c r="I40" s="28">
        <f>2720*12</f>
        <v>32640</v>
      </c>
      <c r="J40" s="28">
        <v>12000</v>
      </c>
      <c r="K40" s="29"/>
      <c r="L40" s="29">
        <v>76680</v>
      </c>
      <c r="M40" s="34">
        <v>15300</v>
      </c>
      <c r="N40" s="34">
        <f t="shared" si="15"/>
        <v>20400</v>
      </c>
      <c r="O40" s="34">
        <f t="shared" si="16"/>
        <v>10200</v>
      </c>
      <c r="P40" s="34">
        <f t="shared" si="17"/>
        <v>195408</v>
      </c>
      <c r="Q40" s="5">
        <f t="shared" si="18"/>
        <v>12750</v>
      </c>
      <c r="R40" s="5">
        <f t="shared" si="19"/>
        <v>51000</v>
      </c>
      <c r="S40" s="5"/>
      <c r="T40" s="88">
        <f t="shared" si="20"/>
        <v>361158</v>
      </c>
    </row>
    <row r="41" spans="1:20" ht="24.75" customHeight="1">
      <c r="A41" s="6">
        <v>5</v>
      </c>
      <c r="B41" s="5" t="s">
        <v>22</v>
      </c>
      <c r="C41" s="45">
        <v>14</v>
      </c>
      <c r="D41" s="45">
        <v>2</v>
      </c>
      <c r="E41" s="45"/>
      <c r="F41" s="45">
        <v>2</v>
      </c>
      <c r="G41" s="5">
        <f>(8610*6+9220*6)*2</f>
        <v>213960</v>
      </c>
      <c r="H41" s="28">
        <f>2214*2*12</f>
        <v>53136</v>
      </c>
      <c r="I41" s="28">
        <f>2720*2*12</f>
        <v>65280</v>
      </c>
      <c r="J41" s="28">
        <v>24000</v>
      </c>
      <c r="K41" s="29"/>
      <c r="L41" s="29">
        <v>154800</v>
      </c>
      <c r="M41" s="34">
        <v>28800</v>
      </c>
      <c r="N41" s="34">
        <f t="shared" si="15"/>
        <v>42792</v>
      </c>
      <c r="O41" s="34">
        <f t="shared" si="16"/>
        <v>21396</v>
      </c>
      <c r="P41" s="34">
        <f t="shared" si="17"/>
        <v>390204</v>
      </c>
      <c r="Q41" s="5">
        <f t="shared" si="18"/>
        <v>26745</v>
      </c>
      <c r="R41" s="5">
        <f t="shared" si="19"/>
        <v>106980</v>
      </c>
      <c r="S41" s="5"/>
      <c r="T41" s="88">
        <f t="shared" si="20"/>
        <v>737889</v>
      </c>
    </row>
    <row r="42" spans="1:20" ht="24.75" customHeight="1">
      <c r="A42" s="7">
        <v>6</v>
      </c>
      <c r="B42" s="5" t="s">
        <v>10</v>
      </c>
      <c r="C42" s="45">
        <v>11</v>
      </c>
      <c r="D42" s="45">
        <v>1</v>
      </c>
      <c r="E42" s="45"/>
      <c r="F42" s="45">
        <v>1</v>
      </c>
      <c r="G42" s="5">
        <f>7980*6+8440*6</f>
        <v>98520</v>
      </c>
      <c r="H42" s="28">
        <f>1852*12</f>
        <v>22224</v>
      </c>
      <c r="I42" s="28">
        <f>2720*12</f>
        <v>32640</v>
      </c>
      <c r="J42" s="28">
        <v>12000</v>
      </c>
      <c r="K42" s="29"/>
      <c r="L42" s="29">
        <v>31290</v>
      </c>
      <c r="M42" s="34">
        <v>13536</v>
      </c>
      <c r="N42" s="34">
        <f t="shared" si="15"/>
        <v>19704</v>
      </c>
      <c r="O42" s="34">
        <f t="shared" si="16"/>
        <v>9852</v>
      </c>
      <c r="P42" s="34">
        <f t="shared" si="17"/>
        <v>141246</v>
      </c>
      <c r="Q42" s="5">
        <f t="shared" si="18"/>
        <v>12315</v>
      </c>
      <c r="R42" s="5">
        <f t="shared" si="19"/>
        <v>49260</v>
      </c>
      <c r="S42" s="5"/>
      <c r="T42" s="88">
        <f t="shared" si="20"/>
        <v>301341</v>
      </c>
    </row>
    <row r="43" spans="1:20" ht="24.75" customHeight="1">
      <c r="A43" s="17">
        <v>7</v>
      </c>
      <c r="B43" s="5" t="s">
        <v>81</v>
      </c>
      <c r="C43" s="45">
        <v>9</v>
      </c>
      <c r="D43" s="45">
        <v>2</v>
      </c>
      <c r="E43" s="45"/>
      <c r="F43" s="45">
        <v>2</v>
      </c>
      <c r="G43" s="5">
        <f>(6960+6200)*6+(6960+6200)*6</f>
        <v>157920</v>
      </c>
      <c r="H43" s="28">
        <f>1719*12</f>
        <v>20628</v>
      </c>
      <c r="I43" s="28">
        <f>1840*2*12</f>
        <v>44160</v>
      </c>
      <c r="J43" s="28">
        <v>12000</v>
      </c>
      <c r="K43" s="29"/>
      <c r="L43" s="29">
        <v>116880</v>
      </c>
      <c r="M43" s="34">
        <v>36000</v>
      </c>
      <c r="N43" s="34">
        <f t="shared" si="15"/>
        <v>31584</v>
      </c>
      <c r="O43" s="34">
        <f t="shared" si="16"/>
        <v>15792</v>
      </c>
      <c r="P43" s="34">
        <f t="shared" si="17"/>
        <v>277044</v>
      </c>
      <c r="Q43" s="5">
        <f t="shared" si="18"/>
        <v>19740</v>
      </c>
      <c r="R43" s="5">
        <f t="shared" si="19"/>
        <v>78960</v>
      </c>
      <c r="S43" s="5"/>
      <c r="T43" s="88">
        <f t="shared" si="20"/>
        <v>533664</v>
      </c>
    </row>
    <row r="44" spans="1:20" ht="27.75" customHeight="1">
      <c r="A44" s="7">
        <v>8</v>
      </c>
      <c r="B44" s="5" t="s">
        <v>16</v>
      </c>
      <c r="C44" s="45">
        <v>9</v>
      </c>
      <c r="D44" s="45">
        <v>3</v>
      </c>
      <c r="E44" s="45"/>
      <c r="F44" s="45">
        <v>3</v>
      </c>
      <c r="G44" s="5">
        <f>(14560+13800+11900)*6+(14940+13800+11900)*6</f>
        <v>485400</v>
      </c>
      <c r="H44" s="28">
        <f>1719*3*12</f>
        <v>61884</v>
      </c>
      <c r="I44" s="28">
        <f>1840*3*12</f>
        <v>66240</v>
      </c>
      <c r="J44" s="28">
        <v>36000</v>
      </c>
      <c r="K44" s="29"/>
      <c r="L44" s="29">
        <v>287100</v>
      </c>
      <c r="M44" s="34">
        <v>37584</v>
      </c>
      <c r="N44" s="34">
        <f t="shared" si="15"/>
        <v>97080</v>
      </c>
      <c r="O44" s="34">
        <f t="shared" si="16"/>
        <v>48540</v>
      </c>
      <c r="P44" s="34">
        <f t="shared" si="17"/>
        <v>634428</v>
      </c>
      <c r="Q44" s="5">
        <f t="shared" si="18"/>
        <v>60675</v>
      </c>
      <c r="R44" s="5">
        <f t="shared" si="19"/>
        <v>242700</v>
      </c>
      <c r="S44" s="5"/>
      <c r="T44" s="88">
        <f t="shared" si="20"/>
        <v>1423203</v>
      </c>
    </row>
    <row r="45" spans="1:20" ht="27.75" customHeight="1">
      <c r="A45" s="17">
        <v>9</v>
      </c>
      <c r="B45" s="5" t="s">
        <v>12</v>
      </c>
      <c r="C45" s="45">
        <v>8</v>
      </c>
      <c r="D45" s="45">
        <v>1</v>
      </c>
      <c r="E45" s="45"/>
      <c r="F45" s="45">
        <v>1</v>
      </c>
      <c r="G45" s="5">
        <f>6000*12</f>
        <v>72000</v>
      </c>
      <c r="H45" s="28">
        <f>1649*12</f>
        <v>19788</v>
      </c>
      <c r="I45" s="28">
        <f>1840*12</f>
        <v>22080</v>
      </c>
      <c r="J45" s="28">
        <v>12000</v>
      </c>
      <c r="K45" s="29"/>
      <c r="L45" s="29">
        <v>44670</v>
      </c>
      <c r="M45" s="34">
        <v>10800</v>
      </c>
      <c r="N45" s="34">
        <f t="shared" si="15"/>
        <v>14400</v>
      </c>
      <c r="O45" s="34">
        <f t="shared" si="16"/>
        <v>7200</v>
      </c>
      <c r="P45" s="34">
        <f t="shared" si="17"/>
        <v>130938</v>
      </c>
      <c r="Q45" s="5">
        <f t="shared" si="18"/>
        <v>9000</v>
      </c>
      <c r="R45" s="5">
        <f t="shared" si="19"/>
        <v>36000</v>
      </c>
      <c r="S45" s="5"/>
      <c r="T45" s="88">
        <f t="shared" si="20"/>
        <v>247938</v>
      </c>
    </row>
    <row r="46" spans="1:20" ht="27.75" customHeight="1">
      <c r="A46" s="7">
        <v>10</v>
      </c>
      <c r="B46" s="5" t="s">
        <v>11</v>
      </c>
      <c r="C46" s="45">
        <v>7</v>
      </c>
      <c r="D46" s="45">
        <v>8</v>
      </c>
      <c r="E46" s="45"/>
      <c r="F46" s="45">
        <v>8</v>
      </c>
      <c r="G46" s="5">
        <f>(6760+10600+6760+14760+14760+13160+13800+13160)*6+(7080+10920+7080+15080+15080+13480+14120+13480)*6</f>
        <v>1140480</v>
      </c>
      <c r="H46" s="28">
        <f>1589*7*12</f>
        <v>133476</v>
      </c>
      <c r="I46" s="28">
        <f>1840*12*8</f>
        <v>176640</v>
      </c>
      <c r="J46" s="28">
        <v>96000</v>
      </c>
      <c r="K46" s="29"/>
      <c r="L46" s="29">
        <v>317640</v>
      </c>
      <c r="M46" s="34">
        <v>120384</v>
      </c>
      <c r="N46" s="34">
        <f t="shared" si="15"/>
        <v>228096</v>
      </c>
      <c r="O46" s="34">
        <f t="shared" si="16"/>
        <v>114048</v>
      </c>
      <c r="P46" s="34">
        <f t="shared" si="17"/>
        <v>1186284</v>
      </c>
      <c r="Q46" s="5">
        <f t="shared" si="18"/>
        <v>142560</v>
      </c>
      <c r="R46" s="5">
        <f t="shared" si="19"/>
        <v>570240</v>
      </c>
      <c r="S46" s="5"/>
      <c r="T46" s="88">
        <f t="shared" si="20"/>
        <v>3039564</v>
      </c>
    </row>
    <row r="47" spans="1:20" ht="23.25" customHeight="1">
      <c r="A47" s="17">
        <v>11</v>
      </c>
      <c r="B47" s="5" t="s">
        <v>62</v>
      </c>
      <c r="C47" s="45">
        <v>5</v>
      </c>
      <c r="D47" s="45">
        <v>1</v>
      </c>
      <c r="E47" s="45"/>
      <c r="F47" s="45">
        <v>1</v>
      </c>
      <c r="G47" s="5">
        <f>5400*6+5750*6</f>
        <v>66900</v>
      </c>
      <c r="H47" s="28">
        <f>1503*12</f>
        <v>18036</v>
      </c>
      <c r="I47" s="28">
        <f>1840*12</f>
        <v>22080</v>
      </c>
      <c r="J47" s="28">
        <v>12000</v>
      </c>
      <c r="K47" s="29"/>
      <c r="L47" s="29">
        <v>51720</v>
      </c>
      <c r="M47" s="34">
        <v>9720</v>
      </c>
      <c r="N47" s="34">
        <f t="shared" si="15"/>
        <v>13380</v>
      </c>
      <c r="O47" s="34">
        <f t="shared" si="16"/>
        <v>6690</v>
      </c>
      <c r="P47" s="34">
        <f t="shared" si="17"/>
        <v>133626</v>
      </c>
      <c r="Q47" s="5">
        <f t="shared" si="18"/>
        <v>8362.5</v>
      </c>
      <c r="R47" s="5">
        <f t="shared" si="19"/>
        <v>33450</v>
      </c>
      <c r="S47" s="5"/>
      <c r="T47" s="88">
        <f t="shared" si="20"/>
        <v>242338.5</v>
      </c>
    </row>
    <row r="48" spans="1:20" ht="24.75" customHeight="1">
      <c r="A48" s="7">
        <v>12</v>
      </c>
      <c r="B48" s="27" t="s">
        <v>60</v>
      </c>
      <c r="C48" s="55">
        <v>4</v>
      </c>
      <c r="D48" s="55">
        <v>1</v>
      </c>
      <c r="E48" s="55"/>
      <c r="F48" s="55">
        <v>1</v>
      </c>
      <c r="G48" s="5">
        <f>5200*6+5450*6</f>
        <v>63900</v>
      </c>
      <c r="H48" s="71">
        <f>1456*12</f>
        <v>17472</v>
      </c>
      <c r="I48" s="71">
        <f>1700*12</f>
        <v>20400</v>
      </c>
      <c r="J48" s="71">
        <v>12000</v>
      </c>
      <c r="K48" s="72">
        <f>300*3*12</f>
        <v>10800</v>
      </c>
      <c r="L48" s="72">
        <v>37920</v>
      </c>
      <c r="M48" s="34">
        <v>9360</v>
      </c>
      <c r="N48" s="34">
        <f t="shared" si="15"/>
        <v>12780</v>
      </c>
      <c r="O48" s="34">
        <f t="shared" si="16"/>
        <v>6390</v>
      </c>
      <c r="P48" s="34">
        <f t="shared" si="17"/>
        <v>127122</v>
      </c>
      <c r="Q48" s="5">
        <f t="shared" si="18"/>
        <v>7987.5</v>
      </c>
      <c r="R48" s="5">
        <f t="shared" si="19"/>
        <v>31950</v>
      </c>
      <c r="S48" s="5"/>
      <c r="T48" s="88">
        <f t="shared" si="20"/>
        <v>230959.5</v>
      </c>
    </row>
    <row r="49" spans="1:20" ht="24.75" customHeight="1">
      <c r="A49" s="17">
        <v>13</v>
      </c>
      <c r="B49" s="5" t="s">
        <v>13</v>
      </c>
      <c r="C49" s="45">
        <v>2</v>
      </c>
      <c r="D49" s="45">
        <v>6</v>
      </c>
      <c r="E49" s="45"/>
      <c r="F49" s="45">
        <v>6</v>
      </c>
      <c r="G49" s="5">
        <f>(8980+6090+5410+6430+7110+7450)*6+(9150+6260+5580+6600+7280+7620)*6</f>
        <v>503760</v>
      </c>
      <c r="H49" s="28">
        <f>1366*6*12</f>
        <v>98352</v>
      </c>
      <c r="I49" s="28">
        <f>1700*6*12</f>
        <v>122400</v>
      </c>
      <c r="J49" s="28">
        <v>72000</v>
      </c>
      <c r="K49" s="29">
        <f>300*6*12</f>
        <v>21600</v>
      </c>
      <c r="L49" s="29">
        <v>162660</v>
      </c>
      <c r="M49" s="34">
        <v>60264</v>
      </c>
      <c r="N49" s="34">
        <f t="shared" si="15"/>
        <v>100752</v>
      </c>
      <c r="O49" s="34">
        <f t="shared" si="16"/>
        <v>50376</v>
      </c>
      <c r="P49" s="34">
        <f t="shared" si="17"/>
        <v>688404</v>
      </c>
      <c r="Q49" s="5">
        <f t="shared" si="18"/>
        <v>62970</v>
      </c>
      <c r="R49" s="5">
        <f t="shared" si="19"/>
        <v>251880</v>
      </c>
      <c r="S49" s="5"/>
      <c r="T49" s="88">
        <f t="shared" si="20"/>
        <v>1507014</v>
      </c>
    </row>
    <row r="50" spans="1:20" ht="24.75" customHeight="1">
      <c r="A50" s="7">
        <v>14</v>
      </c>
      <c r="B50" s="5" t="s">
        <v>63</v>
      </c>
      <c r="C50" s="45">
        <v>2</v>
      </c>
      <c r="D50" s="45">
        <v>2</v>
      </c>
      <c r="E50" s="45"/>
      <c r="F50" s="45">
        <v>2</v>
      </c>
      <c r="G50" s="5">
        <f>(9830+8980)*6+(10000+9150)*6</f>
        <v>227760</v>
      </c>
      <c r="H50" s="28">
        <f>1366*2*12</f>
        <v>32784</v>
      </c>
      <c r="I50" s="28">
        <f>1700*2*12</f>
        <v>40800</v>
      </c>
      <c r="J50" s="28">
        <v>24000</v>
      </c>
      <c r="K50" s="29">
        <f>300*2*12</f>
        <v>7200</v>
      </c>
      <c r="L50" s="29">
        <v>65820</v>
      </c>
      <c r="M50" s="34">
        <v>51820.2</v>
      </c>
      <c r="N50" s="34">
        <f t="shared" si="15"/>
        <v>45552</v>
      </c>
      <c r="O50" s="34">
        <f t="shared" si="16"/>
        <v>22776</v>
      </c>
      <c r="P50" s="34">
        <f t="shared" si="17"/>
        <v>290752.2</v>
      </c>
      <c r="Q50" s="5">
        <f t="shared" si="18"/>
        <v>28470</v>
      </c>
      <c r="R50" s="5">
        <f t="shared" si="19"/>
        <v>113880</v>
      </c>
      <c r="S50" s="5"/>
      <c r="T50" s="88">
        <f t="shared" si="20"/>
        <v>660862.19999999995</v>
      </c>
    </row>
    <row r="51" spans="1:20" ht="24.75" customHeight="1">
      <c r="A51" s="17">
        <v>15</v>
      </c>
      <c r="B51" s="27" t="s">
        <v>20</v>
      </c>
      <c r="C51" s="45">
        <v>2</v>
      </c>
      <c r="D51" s="45">
        <v>2</v>
      </c>
      <c r="E51" s="45"/>
      <c r="F51" s="45">
        <v>2</v>
      </c>
      <c r="G51" s="5">
        <f>(8980+6260)*6+(9150+6430)*6</f>
        <v>184920</v>
      </c>
      <c r="H51" s="28">
        <f>1366*2*12</f>
        <v>32784</v>
      </c>
      <c r="I51" s="28">
        <f>1700*2*12</f>
        <v>40800</v>
      </c>
      <c r="J51" s="28">
        <v>24000</v>
      </c>
      <c r="K51" s="29">
        <f>300*2*12</f>
        <v>7200</v>
      </c>
      <c r="L51" s="29">
        <v>53220</v>
      </c>
      <c r="M51" s="34">
        <v>20700</v>
      </c>
      <c r="N51" s="34">
        <f t="shared" si="15"/>
        <v>36984</v>
      </c>
      <c r="O51" s="34">
        <f t="shared" si="16"/>
        <v>18492</v>
      </c>
      <c r="P51" s="34">
        <f t="shared" si="17"/>
        <v>234180</v>
      </c>
      <c r="Q51" s="5">
        <f t="shared" si="18"/>
        <v>23115</v>
      </c>
      <c r="R51" s="5">
        <f t="shared" si="19"/>
        <v>92460</v>
      </c>
      <c r="S51" s="5"/>
      <c r="T51" s="88">
        <f t="shared" si="20"/>
        <v>534675</v>
      </c>
    </row>
    <row r="52" spans="1:20" ht="24.75" customHeight="1" thickBot="1">
      <c r="A52" s="6">
        <v>16</v>
      </c>
      <c r="B52" s="38" t="s">
        <v>19</v>
      </c>
      <c r="C52" s="45">
        <v>2</v>
      </c>
      <c r="D52" s="45">
        <v>1</v>
      </c>
      <c r="E52" s="45"/>
      <c r="F52" s="45">
        <v>1</v>
      </c>
      <c r="G52" s="5">
        <f>8980*6+9150*6</f>
        <v>108780</v>
      </c>
      <c r="H52" s="28">
        <f>1366*12</f>
        <v>16392</v>
      </c>
      <c r="I52" s="28">
        <f>1700*12</f>
        <v>20400</v>
      </c>
      <c r="J52" s="28">
        <v>12000</v>
      </c>
      <c r="K52" s="29">
        <f>300*12</f>
        <v>3600</v>
      </c>
      <c r="L52" s="29">
        <v>31410</v>
      </c>
      <c r="M52" s="34">
        <v>12184.199999999999</v>
      </c>
      <c r="N52" s="34">
        <f t="shared" si="15"/>
        <v>21756</v>
      </c>
      <c r="O52" s="34">
        <f t="shared" si="16"/>
        <v>10878</v>
      </c>
      <c r="P52" s="34">
        <f t="shared" si="17"/>
        <v>128620.2</v>
      </c>
      <c r="Q52" s="5">
        <f t="shared" si="18"/>
        <v>13597.5</v>
      </c>
      <c r="R52" s="5">
        <f t="shared" si="19"/>
        <v>54390</v>
      </c>
      <c r="S52" s="5"/>
      <c r="T52" s="88">
        <f t="shared" si="20"/>
        <v>305387.7</v>
      </c>
    </row>
    <row r="53" spans="1:20" s="37" customFormat="1" ht="20.100000000000001" customHeight="1" thickBot="1">
      <c r="A53" s="359" t="s">
        <v>1</v>
      </c>
      <c r="B53" s="360"/>
      <c r="C53" s="76"/>
      <c r="D53" s="75">
        <f>SUM(D37:D52)</f>
        <v>34</v>
      </c>
      <c r="E53" s="75">
        <f>SUM(E37:E52)</f>
        <v>0</v>
      </c>
      <c r="F53" s="75">
        <f>SUM(F37:F52)</f>
        <v>34</v>
      </c>
      <c r="G53" s="59">
        <f>SUM(G37:G52)</f>
        <v>4506300</v>
      </c>
      <c r="H53" s="59">
        <f t="shared" ref="H53:R53" si="21">SUM(H37:H52)</f>
        <v>727308</v>
      </c>
      <c r="I53" s="59">
        <f t="shared" si="21"/>
        <v>886560</v>
      </c>
      <c r="J53" s="59">
        <f t="shared" si="21"/>
        <v>440046</v>
      </c>
      <c r="K53" s="59">
        <f t="shared" si="21"/>
        <v>50400</v>
      </c>
      <c r="L53" s="59">
        <f t="shared" si="21"/>
        <v>1760089</v>
      </c>
      <c r="M53" s="59">
        <f t="shared" si="21"/>
        <v>532518.6</v>
      </c>
      <c r="N53" s="59">
        <f>SUM(N37:N52)</f>
        <v>901260</v>
      </c>
      <c r="O53" s="59">
        <f>SUM(O37:O52)</f>
        <v>450630</v>
      </c>
      <c r="P53" s="59">
        <f t="shared" si="21"/>
        <v>5748811.6000000006</v>
      </c>
      <c r="Q53" s="59">
        <f>SUM(Q37:Q52)</f>
        <v>563287.5</v>
      </c>
      <c r="R53" s="59">
        <f t="shared" si="21"/>
        <v>2253150</v>
      </c>
      <c r="S53" s="59">
        <v>200000</v>
      </c>
      <c r="T53" s="59">
        <f>G53+P53+Q53+R53+S53</f>
        <v>13271549.100000001</v>
      </c>
    </row>
    <row r="54" spans="1:20" ht="24" customHeight="1" thickBot="1">
      <c r="A54" s="361" t="s">
        <v>80</v>
      </c>
      <c r="B54" s="372"/>
      <c r="C54" s="373"/>
      <c r="D54" s="62"/>
      <c r="E54" s="62"/>
      <c r="F54" s="62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1:20" ht="25.5" customHeight="1">
      <c r="A55" s="17">
        <v>1</v>
      </c>
      <c r="B55" s="10" t="s">
        <v>38</v>
      </c>
      <c r="C55" s="52">
        <v>18</v>
      </c>
      <c r="D55" s="45">
        <v>1</v>
      </c>
      <c r="E55" s="45"/>
      <c r="F55" s="45">
        <v>1</v>
      </c>
      <c r="G55" s="5">
        <f>20000*12</f>
        <v>240000</v>
      </c>
      <c r="H55" s="31">
        <f>5810*12</f>
        <v>69720</v>
      </c>
      <c r="I55" s="31">
        <f>5000*12</f>
        <v>60000</v>
      </c>
      <c r="J55" s="31">
        <v>31608</v>
      </c>
      <c r="K55" s="32"/>
      <c r="L55" s="29">
        <v>87199</v>
      </c>
      <c r="M55" s="34">
        <v>27411</v>
      </c>
      <c r="N55" s="34">
        <f t="shared" ref="N55:N65" si="22">G55*20%</f>
        <v>48000</v>
      </c>
      <c r="O55" s="34">
        <f t="shared" ref="O55:O65" si="23">SUM($G55*10%)</f>
        <v>24000</v>
      </c>
      <c r="P55" s="34">
        <f t="shared" ref="P55:P65" si="24">SUM($H55+$I55+$J55+$K55+$L55+$M55+$N55+$O55)</f>
        <v>347938</v>
      </c>
      <c r="Q55" s="5">
        <f t="shared" ref="Q55:Q65" si="25">G55*12.5%</f>
        <v>30000</v>
      </c>
      <c r="R55" s="5">
        <f t="shared" ref="R55:R65" si="26">$G55*50%</f>
        <v>120000</v>
      </c>
      <c r="S55" s="5"/>
      <c r="T55" s="88">
        <f t="shared" ref="T55:T65" si="27">SUM(G55+Q55+P55+R55)</f>
        <v>737938</v>
      </c>
    </row>
    <row r="56" spans="1:20" ht="26.25" customHeight="1">
      <c r="A56" s="6" t="s">
        <v>88</v>
      </c>
      <c r="B56" s="5" t="s">
        <v>23</v>
      </c>
      <c r="C56" s="45">
        <v>17</v>
      </c>
      <c r="D56" s="45">
        <v>1</v>
      </c>
      <c r="E56" s="45"/>
      <c r="F56" s="45">
        <v>1</v>
      </c>
      <c r="G56" s="5">
        <f>30400*12</f>
        <v>364800</v>
      </c>
      <c r="H56" s="31">
        <f>4433*12</f>
        <v>53196</v>
      </c>
      <c r="I56" s="31">
        <f>5000*12</f>
        <v>60000</v>
      </c>
      <c r="J56" s="31">
        <v>22392</v>
      </c>
      <c r="K56" s="32"/>
      <c r="L56" s="32">
        <f>5665*12</f>
        <v>67980</v>
      </c>
      <c r="M56" s="34">
        <v>48470.400000000001</v>
      </c>
      <c r="N56" s="34">
        <f t="shared" si="22"/>
        <v>72960</v>
      </c>
      <c r="O56" s="34">
        <f t="shared" si="23"/>
        <v>36480</v>
      </c>
      <c r="P56" s="34">
        <f t="shared" si="24"/>
        <v>361478.40000000002</v>
      </c>
      <c r="Q56" s="5">
        <f t="shared" si="25"/>
        <v>45600</v>
      </c>
      <c r="R56" s="5">
        <f t="shared" si="26"/>
        <v>182400</v>
      </c>
      <c r="S56" s="5"/>
      <c r="T56" s="88">
        <f t="shared" si="27"/>
        <v>954278.40000000002</v>
      </c>
    </row>
    <row r="57" spans="1:20" ht="20.100000000000001" customHeight="1">
      <c r="A57" s="17">
        <v>3</v>
      </c>
      <c r="B57" s="10" t="s">
        <v>24</v>
      </c>
      <c r="C57" s="52" t="s">
        <v>45</v>
      </c>
      <c r="D57" s="52">
        <v>2</v>
      </c>
      <c r="E57" s="52"/>
      <c r="F57" s="52">
        <v>2</v>
      </c>
      <c r="G57" s="10">
        <f>25000*2*12</f>
        <v>600000</v>
      </c>
      <c r="H57" s="91">
        <v>0</v>
      </c>
      <c r="I57" s="91">
        <v>0</v>
      </c>
      <c r="J57" s="91">
        <v>0</v>
      </c>
      <c r="K57" s="92"/>
      <c r="L57" s="92">
        <v>0</v>
      </c>
      <c r="M57" s="93">
        <v>0</v>
      </c>
      <c r="N57" s="93">
        <v>0</v>
      </c>
      <c r="O57" s="34">
        <v>0</v>
      </c>
      <c r="P57" s="34">
        <f t="shared" si="24"/>
        <v>0</v>
      </c>
      <c r="Q57" s="5">
        <v>0</v>
      </c>
      <c r="R57" s="10">
        <v>0</v>
      </c>
      <c r="S57" s="10"/>
      <c r="T57" s="94">
        <f t="shared" si="27"/>
        <v>600000</v>
      </c>
    </row>
    <row r="58" spans="1:20" ht="20.100000000000001" customHeight="1">
      <c r="A58" s="7">
        <v>4</v>
      </c>
      <c r="B58" s="5" t="s">
        <v>15</v>
      </c>
      <c r="C58" s="45">
        <v>15</v>
      </c>
      <c r="D58" s="45">
        <v>1</v>
      </c>
      <c r="E58" s="45"/>
      <c r="F58" s="45">
        <v>1</v>
      </c>
      <c r="G58" s="5">
        <f>8500*12</f>
        <v>102000</v>
      </c>
      <c r="H58" s="31">
        <f>2349*12</f>
        <v>28188</v>
      </c>
      <c r="I58" s="31">
        <f>2720*12</f>
        <v>32640</v>
      </c>
      <c r="J58" s="31">
        <v>12000</v>
      </c>
      <c r="K58" s="32"/>
      <c r="L58" s="32">
        <v>84240</v>
      </c>
      <c r="M58" s="34">
        <v>15300</v>
      </c>
      <c r="N58" s="34">
        <f t="shared" si="22"/>
        <v>20400</v>
      </c>
      <c r="O58" s="34">
        <f t="shared" si="23"/>
        <v>10200</v>
      </c>
      <c r="P58" s="34">
        <f t="shared" si="24"/>
        <v>202968</v>
      </c>
      <c r="Q58" s="5">
        <f t="shared" si="25"/>
        <v>12750</v>
      </c>
      <c r="R58" s="5">
        <f t="shared" si="26"/>
        <v>51000</v>
      </c>
      <c r="S58" s="5"/>
      <c r="T58" s="88">
        <f t="shared" si="27"/>
        <v>368718</v>
      </c>
    </row>
    <row r="59" spans="1:20" ht="24" customHeight="1">
      <c r="A59" s="17">
        <v>5</v>
      </c>
      <c r="B59" s="5" t="s">
        <v>64</v>
      </c>
      <c r="C59" s="45">
        <v>14</v>
      </c>
      <c r="D59" s="45">
        <v>1</v>
      </c>
      <c r="E59" s="45"/>
      <c r="F59" s="45">
        <v>1</v>
      </c>
      <c r="G59" s="5">
        <f>11050*12</f>
        <v>132600</v>
      </c>
      <c r="H59" s="31">
        <f>2214*12</f>
        <v>26568</v>
      </c>
      <c r="I59" s="31">
        <f>2720*12</f>
        <v>32640</v>
      </c>
      <c r="J59" s="31">
        <v>12000</v>
      </c>
      <c r="K59" s="32"/>
      <c r="L59" s="32">
        <v>61440</v>
      </c>
      <c r="M59" s="34">
        <v>14400</v>
      </c>
      <c r="N59" s="34">
        <f t="shared" si="22"/>
        <v>26520</v>
      </c>
      <c r="O59" s="34">
        <f t="shared" si="23"/>
        <v>13260</v>
      </c>
      <c r="P59" s="34">
        <f t="shared" si="24"/>
        <v>186828</v>
      </c>
      <c r="Q59" s="5">
        <f t="shared" si="25"/>
        <v>16575</v>
      </c>
      <c r="R59" s="5">
        <f t="shared" si="26"/>
        <v>66300</v>
      </c>
      <c r="S59" s="5"/>
      <c r="T59" s="88">
        <f t="shared" si="27"/>
        <v>402303</v>
      </c>
    </row>
    <row r="60" spans="1:20" ht="24" customHeight="1">
      <c r="A60" s="7">
        <v>6</v>
      </c>
      <c r="B60" s="5" t="s">
        <v>47</v>
      </c>
      <c r="C60" s="45">
        <v>11</v>
      </c>
      <c r="D60" s="45">
        <v>1</v>
      </c>
      <c r="E60" s="45"/>
      <c r="F60" s="45">
        <v>1</v>
      </c>
      <c r="G60" s="5">
        <f>6600*12</f>
        <v>79200</v>
      </c>
      <c r="H60" s="31">
        <f>1852*12</f>
        <v>22224</v>
      </c>
      <c r="I60" s="31">
        <f>2720*12</f>
        <v>32640</v>
      </c>
      <c r="J60" s="31">
        <v>12000</v>
      </c>
      <c r="K60" s="32"/>
      <c r="L60" s="32">
        <v>31290</v>
      </c>
      <c r="M60" s="34">
        <v>13536</v>
      </c>
      <c r="N60" s="34">
        <f t="shared" si="22"/>
        <v>15840</v>
      </c>
      <c r="O60" s="34">
        <f t="shared" si="23"/>
        <v>7920</v>
      </c>
      <c r="P60" s="34">
        <f t="shared" si="24"/>
        <v>135450</v>
      </c>
      <c r="Q60" s="5">
        <f t="shared" si="25"/>
        <v>9900</v>
      </c>
      <c r="R60" s="5">
        <f t="shared" si="26"/>
        <v>39600</v>
      </c>
      <c r="S60" s="5"/>
      <c r="T60" s="88">
        <f t="shared" si="27"/>
        <v>264150</v>
      </c>
    </row>
    <row r="61" spans="1:20" ht="24" customHeight="1">
      <c r="A61" s="17">
        <v>7</v>
      </c>
      <c r="B61" s="5" t="s">
        <v>16</v>
      </c>
      <c r="C61" s="45">
        <v>9</v>
      </c>
      <c r="D61" s="45">
        <v>3</v>
      </c>
      <c r="E61" s="45"/>
      <c r="F61" s="45">
        <v>3</v>
      </c>
      <c r="G61" s="5">
        <f>13040*3*12</f>
        <v>469440</v>
      </c>
      <c r="H61" s="31">
        <f>1719*3*12</f>
        <v>61884</v>
      </c>
      <c r="I61" s="31">
        <f>1840*3*12</f>
        <v>66240</v>
      </c>
      <c r="J61" s="31">
        <f>1000*3*12</f>
        <v>36000</v>
      </c>
      <c r="K61" s="32"/>
      <c r="L61" s="32">
        <v>157080</v>
      </c>
      <c r="M61" s="34">
        <v>33480</v>
      </c>
      <c r="N61" s="34">
        <f t="shared" si="22"/>
        <v>93888</v>
      </c>
      <c r="O61" s="34">
        <f t="shared" si="23"/>
        <v>46944</v>
      </c>
      <c r="P61" s="34">
        <f t="shared" si="24"/>
        <v>495516</v>
      </c>
      <c r="Q61" s="5">
        <f t="shared" si="25"/>
        <v>58680</v>
      </c>
      <c r="R61" s="5">
        <f t="shared" si="26"/>
        <v>234720</v>
      </c>
      <c r="S61" s="5"/>
      <c r="T61" s="88">
        <f t="shared" si="27"/>
        <v>1258356</v>
      </c>
    </row>
    <row r="62" spans="1:20" ht="24" customHeight="1">
      <c r="A62" s="6">
        <v>8</v>
      </c>
      <c r="B62" s="5" t="s">
        <v>12</v>
      </c>
      <c r="C62" s="45">
        <v>8</v>
      </c>
      <c r="D62" s="45">
        <v>3</v>
      </c>
      <c r="E62" s="45"/>
      <c r="F62" s="45">
        <v>3</v>
      </c>
      <c r="G62" s="5">
        <f>(13000+6000+6000)*12</f>
        <v>300000</v>
      </c>
      <c r="H62" s="31">
        <f>1649*3*12</f>
        <v>59364</v>
      </c>
      <c r="I62" s="31">
        <f>1840*3*12</f>
        <v>66240</v>
      </c>
      <c r="J62" s="31">
        <v>36000</v>
      </c>
      <c r="K62" s="32"/>
      <c r="L62" s="32">
        <v>131490</v>
      </c>
      <c r="M62" s="34">
        <v>32400</v>
      </c>
      <c r="N62" s="34">
        <f t="shared" si="22"/>
        <v>60000</v>
      </c>
      <c r="O62" s="34">
        <f t="shared" si="23"/>
        <v>30000</v>
      </c>
      <c r="P62" s="34">
        <f t="shared" si="24"/>
        <v>415494</v>
      </c>
      <c r="Q62" s="5">
        <f t="shared" si="25"/>
        <v>37500</v>
      </c>
      <c r="R62" s="5">
        <f t="shared" si="26"/>
        <v>150000</v>
      </c>
      <c r="S62" s="5"/>
      <c r="T62" s="88">
        <f t="shared" si="27"/>
        <v>902994</v>
      </c>
    </row>
    <row r="63" spans="1:20" ht="24" customHeight="1">
      <c r="A63" s="17">
        <v>9</v>
      </c>
      <c r="B63" s="5" t="s">
        <v>11</v>
      </c>
      <c r="C63" s="45">
        <v>7</v>
      </c>
      <c r="D63" s="45">
        <v>4</v>
      </c>
      <c r="E63" s="45"/>
      <c r="F63" s="45">
        <v>4</v>
      </c>
      <c r="G63" s="5">
        <f>12200*12*4</f>
        <v>585600</v>
      </c>
      <c r="H63" s="31">
        <f>1589*4*12</f>
        <v>76272</v>
      </c>
      <c r="I63" s="31">
        <f>1840*4*12</f>
        <v>88320</v>
      </c>
      <c r="J63" s="31">
        <f>1000*4*12</f>
        <v>48000</v>
      </c>
      <c r="K63" s="32"/>
      <c r="L63" s="32">
        <v>214200</v>
      </c>
      <c r="M63" s="34">
        <v>69818.399999999994</v>
      </c>
      <c r="N63" s="34">
        <f t="shared" si="22"/>
        <v>117120</v>
      </c>
      <c r="O63" s="34">
        <f t="shared" si="23"/>
        <v>58560</v>
      </c>
      <c r="P63" s="34">
        <f t="shared" si="24"/>
        <v>672290.4</v>
      </c>
      <c r="Q63" s="5">
        <f t="shared" si="25"/>
        <v>73200</v>
      </c>
      <c r="R63" s="5">
        <f t="shared" si="26"/>
        <v>292800</v>
      </c>
      <c r="S63" s="5"/>
      <c r="T63" s="88">
        <f t="shared" si="27"/>
        <v>1623890.4</v>
      </c>
    </row>
    <row r="64" spans="1:20" ht="24" customHeight="1">
      <c r="A64" s="7">
        <v>10</v>
      </c>
      <c r="B64" s="5" t="s">
        <v>66</v>
      </c>
      <c r="C64" s="45">
        <v>2</v>
      </c>
      <c r="D64" s="45">
        <v>7</v>
      </c>
      <c r="E64" s="45"/>
      <c r="F64" s="45">
        <v>7</v>
      </c>
      <c r="G64" s="5">
        <f>(10170+9150+8980+5410+4900+4900+4900)*6+(10340+9320+9150+5580+4900+4900+4900)*6</f>
        <v>585000</v>
      </c>
      <c r="H64" s="31">
        <f>1366*7*12</f>
        <v>114744</v>
      </c>
      <c r="I64" s="31">
        <f>1700*7*12</f>
        <v>142800</v>
      </c>
      <c r="J64" s="31">
        <v>84000</v>
      </c>
      <c r="K64" s="32">
        <f>300*7*12</f>
        <v>25200</v>
      </c>
      <c r="L64" s="32">
        <v>198270</v>
      </c>
      <c r="M64" s="34">
        <v>99054</v>
      </c>
      <c r="N64" s="34">
        <f t="shared" si="22"/>
        <v>117000</v>
      </c>
      <c r="O64" s="34">
        <f t="shared" si="23"/>
        <v>58500</v>
      </c>
      <c r="P64" s="34">
        <f t="shared" si="24"/>
        <v>839568</v>
      </c>
      <c r="Q64" s="5">
        <f t="shared" si="25"/>
        <v>73125</v>
      </c>
      <c r="R64" s="5">
        <f t="shared" si="26"/>
        <v>292500</v>
      </c>
      <c r="S64" s="5"/>
      <c r="T64" s="88">
        <f t="shared" si="27"/>
        <v>1790193</v>
      </c>
    </row>
    <row r="65" spans="1:20" ht="24" customHeight="1" thickBot="1">
      <c r="A65" s="18">
        <v>11</v>
      </c>
      <c r="B65" s="27" t="s">
        <v>67</v>
      </c>
      <c r="C65" s="55">
        <v>2</v>
      </c>
      <c r="D65" s="55">
        <v>22</v>
      </c>
      <c r="E65" s="55"/>
      <c r="F65" s="55">
        <v>22</v>
      </c>
      <c r="G65" s="5">
        <f>(8980+8980+8980+10340+4950+8980+8130+10340+10680+9660+5410+5410+5410+5410+5410+5410+4900+4900+4900+4900+4900+4900)*6+(9150+9150+9150+10510+5100+9150+8300+10510+10680+9830+5580+5580+5580+5580+5580+5580+4900+4900+4900+4900+4900+4900)*6</f>
        <v>1837740</v>
      </c>
      <c r="H65" s="56">
        <f>1366*22*12</f>
        <v>360624</v>
      </c>
      <c r="I65" s="56">
        <f>1700*22*12</f>
        <v>448800</v>
      </c>
      <c r="J65" s="56">
        <f>1000*12*22</f>
        <v>264000</v>
      </c>
      <c r="K65" s="57">
        <f>300*22*12</f>
        <v>79200</v>
      </c>
      <c r="L65" s="57">
        <v>394515</v>
      </c>
      <c r="M65" s="34">
        <v>214236</v>
      </c>
      <c r="N65" s="34">
        <f t="shared" si="22"/>
        <v>367548</v>
      </c>
      <c r="O65" s="34">
        <f t="shared" si="23"/>
        <v>183774</v>
      </c>
      <c r="P65" s="34">
        <f t="shared" si="24"/>
        <v>2312697</v>
      </c>
      <c r="Q65" s="5">
        <f t="shared" si="25"/>
        <v>229717.5</v>
      </c>
      <c r="R65" s="5">
        <f t="shared" si="26"/>
        <v>918870</v>
      </c>
      <c r="S65" s="5"/>
      <c r="T65" s="88">
        <f t="shared" si="27"/>
        <v>5299024.5</v>
      </c>
    </row>
    <row r="66" spans="1:20" ht="20.100000000000001" customHeight="1" thickBot="1">
      <c r="A66" s="359" t="s">
        <v>14</v>
      </c>
      <c r="B66" s="360"/>
      <c r="C66" s="60"/>
      <c r="D66" s="58">
        <f>SUM(D55:D65)</f>
        <v>46</v>
      </c>
      <c r="E66" s="58">
        <f>SUM(E55:E65)</f>
        <v>0</v>
      </c>
      <c r="F66" s="58">
        <f>SUM(F55:F65)</f>
        <v>46</v>
      </c>
      <c r="G66" s="59">
        <f>SUM(G55:G65)</f>
        <v>5296380</v>
      </c>
      <c r="H66" s="59">
        <f t="shared" ref="H66:R66" si="28">SUM(H55:H65)</f>
        <v>872784</v>
      </c>
      <c r="I66" s="59">
        <f t="shared" si="28"/>
        <v>1030320</v>
      </c>
      <c r="J66" s="59">
        <f t="shared" si="28"/>
        <v>558000</v>
      </c>
      <c r="K66" s="59">
        <f t="shared" si="28"/>
        <v>104400</v>
      </c>
      <c r="L66" s="59">
        <f t="shared" si="28"/>
        <v>1427704</v>
      </c>
      <c r="M66" s="59">
        <f t="shared" si="28"/>
        <v>568105.80000000005</v>
      </c>
      <c r="N66" s="59">
        <f>SUM(N55:N65)</f>
        <v>939276</v>
      </c>
      <c r="O66" s="59">
        <f>SUM(O55:O65)</f>
        <v>469638</v>
      </c>
      <c r="P66" s="59">
        <f t="shared" si="28"/>
        <v>5970227.7999999998</v>
      </c>
      <c r="Q66" s="59">
        <f>SUM(Q55:Q65)</f>
        <v>587047.5</v>
      </c>
      <c r="R66" s="59">
        <f t="shared" si="28"/>
        <v>2348190</v>
      </c>
      <c r="S66" s="59">
        <v>190000</v>
      </c>
      <c r="T66" s="59">
        <f>G66+P66+Q66+R66+S66</f>
        <v>14391845.300000001</v>
      </c>
    </row>
    <row r="67" spans="1:20" ht="24" customHeight="1" thickBot="1">
      <c r="A67" s="371" t="s">
        <v>39</v>
      </c>
      <c r="B67" s="367"/>
      <c r="C67" s="368"/>
      <c r="D67" s="62"/>
      <c r="E67" s="62"/>
      <c r="F67" s="62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ht="27" customHeight="1">
      <c r="A68" s="6">
        <v>1</v>
      </c>
      <c r="B68" s="10" t="s">
        <v>43</v>
      </c>
      <c r="C68" s="52">
        <v>18</v>
      </c>
      <c r="D68" s="45">
        <v>1</v>
      </c>
      <c r="E68" s="45"/>
      <c r="F68" s="45">
        <v>1</v>
      </c>
      <c r="G68" s="5">
        <f>38000*12</f>
        <v>456000</v>
      </c>
      <c r="H68" s="31">
        <f>5810*12</f>
        <v>69720</v>
      </c>
      <c r="I68" s="31">
        <f>5000*12</f>
        <v>60000</v>
      </c>
      <c r="J68" s="31">
        <v>31608</v>
      </c>
      <c r="K68" s="32"/>
      <c r="L68" s="29">
        <v>87199</v>
      </c>
      <c r="M68" s="34">
        <v>27411</v>
      </c>
      <c r="N68" s="34">
        <f t="shared" ref="N68:N79" si="29">G68*20%</f>
        <v>91200</v>
      </c>
      <c r="O68" s="34">
        <f t="shared" ref="O68:O79" si="30">SUM($G68*10%)</f>
        <v>45600</v>
      </c>
      <c r="P68" s="34">
        <f t="shared" ref="P68:P79" si="31">SUM($H68+$I68+$J68+$K68+$L68+$M68+$N68+$O68)</f>
        <v>412738</v>
      </c>
      <c r="Q68" s="5">
        <f t="shared" ref="Q68:Q79" si="32">G68*12.5%</f>
        <v>57000</v>
      </c>
      <c r="R68" s="5">
        <f t="shared" ref="R68:R79" si="33">$G68*50%</f>
        <v>228000</v>
      </c>
      <c r="S68" s="5"/>
      <c r="T68" s="88">
        <f t="shared" ref="T68:T79" si="34">SUM(G68+Q68+P68+R68)</f>
        <v>1153738</v>
      </c>
    </row>
    <row r="69" spans="1:20" ht="27" customHeight="1">
      <c r="A69" s="6">
        <v>2</v>
      </c>
      <c r="B69" s="8" t="s">
        <v>15</v>
      </c>
      <c r="C69" s="45">
        <v>15</v>
      </c>
      <c r="D69" s="45">
        <v>1</v>
      </c>
      <c r="E69" s="45"/>
      <c r="F69" s="45">
        <v>1</v>
      </c>
      <c r="G69" s="5">
        <f>20900*6+21510*6</f>
        <v>254460</v>
      </c>
      <c r="H69" s="31">
        <f>2349*12</f>
        <v>28188</v>
      </c>
      <c r="I69" s="31">
        <f>2720*12</f>
        <v>32640</v>
      </c>
      <c r="J69" s="31">
        <v>12000</v>
      </c>
      <c r="K69" s="32"/>
      <c r="L69" s="32">
        <v>72840</v>
      </c>
      <c r="M69" s="34">
        <v>24638.399999999998</v>
      </c>
      <c r="N69" s="34">
        <f t="shared" si="29"/>
        <v>50892</v>
      </c>
      <c r="O69" s="34">
        <f t="shared" si="30"/>
        <v>25446</v>
      </c>
      <c r="P69" s="34">
        <f t="shared" si="31"/>
        <v>246644.4</v>
      </c>
      <c r="Q69" s="5">
        <f t="shared" si="32"/>
        <v>31807.5</v>
      </c>
      <c r="R69" s="5">
        <f t="shared" si="33"/>
        <v>127230</v>
      </c>
      <c r="S69" s="5"/>
      <c r="T69" s="88">
        <f t="shared" si="34"/>
        <v>660141.9</v>
      </c>
    </row>
    <row r="70" spans="1:20" ht="27" customHeight="1">
      <c r="A70" s="6">
        <v>3</v>
      </c>
      <c r="B70" s="5" t="s">
        <v>25</v>
      </c>
      <c r="C70" s="45">
        <v>14</v>
      </c>
      <c r="D70" s="45">
        <v>4</v>
      </c>
      <c r="E70" s="45"/>
      <c r="F70" s="45">
        <v>4</v>
      </c>
      <c r="G70" s="5">
        <f>(18980+17150+8610*2)*6+(19590+17760+8610*2)*6</f>
        <v>647520</v>
      </c>
      <c r="H70" s="31">
        <f>2214*4*12</f>
        <v>106272</v>
      </c>
      <c r="I70" s="31">
        <f>2720*4*12</f>
        <v>130560</v>
      </c>
      <c r="J70" s="31">
        <v>48000</v>
      </c>
      <c r="K70" s="32"/>
      <c r="L70" s="32">
        <v>136830</v>
      </c>
      <c r="M70" s="34">
        <v>124228.79999999999</v>
      </c>
      <c r="N70" s="34">
        <f t="shared" si="29"/>
        <v>129504</v>
      </c>
      <c r="O70" s="34">
        <f t="shared" si="30"/>
        <v>64752</v>
      </c>
      <c r="P70" s="34">
        <f t="shared" si="31"/>
        <v>740146.8</v>
      </c>
      <c r="Q70" s="5">
        <f t="shared" si="32"/>
        <v>80940</v>
      </c>
      <c r="R70" s="5">
        <f t="shared" si="33"/>
        <v>323760</v>
      </c>
      <c r="S70" s="5"/>
      <c r="T70" s="88">
        <f t="shared" si="34"/>
        <v>1792366.8</v>
      </c>
    </row>
    <row r="71" spans="1:20" ht="27" customHeight="1">
      <c r="A71" s="6">
        <v>4</v>
      </c>
      <c r="B71" s="8" t="s">
        <v>27</v>
      </c>
      <c r="C71" s="45">
        <v>13</v>
      </c>
      <c r="D71" s="45">
        <v>1</v>
      </c>
      <c r="E71" s="45"/>
      <c r="F71" s="45">
        <v>1</v>
      </c>
      <c r="G71" s="5">
        <f>20860*6+21410*6</f>
        <v>253620</v>
      </c>
      <c r="H71" s="31">
        <f>2090*12</f>
        <v>25080</v>
      </c>
      <c r="I71" s="31">
        <f>2720*12</f>
        <v>32640</v>
      </c>
      <c r="J71" s="31">
        <v>12000</v>
      </c>
      <c r="K71" s="32"/>
      <c r="L71" s="32">
        <v>66630</v>
      </c>
      <c r="M71" s="34">
        <v>13500</v>
      </c>
      <c r="N71" s="34">
        <f t="shared" si="29"/>
        <v>50724</v>
      </c>
      <c r="O71" s="34">
        <f t="shared" si="30"/>
        <v>25362</v>
      </c>
      <c r="P71" s="34">
        <f t="shared" si="31"/>
        <v>225936</v>
      </c>
      <c r="Q71" s="5">
        <f t="shared" si="32"/>
        <v>31702.5</v>
      </c>
      <c r="R71" s="5">
        <f t="shared" si="33"/>
        <v>126810</v>
      </c>
      <c r="S71" s="5"/>
      <c r="T71" s="88">
        <f t="shared" si="34"/>
        <v>638068.5</v>
      </c>
    </row>
    <row r="72" spans="1:20" ht="27" customHeight="1">
      <c r="A72" s="6">
        <v>5</v>
      </c>
      <c r="B72" s="5" t="s">
        <v>10</v>
      </c>
      <c r="C72" s="45">
        <v>11</v>
      </c>
      <c r="D72" s="45">
        <v>1</v>
      </c>
      <c r="E72" s="45"/>
      <c r="F72" s="45">
        <v>1</v>
      </c>
      <c r="G72" s="5">
        <f>7980*6+8440*6</f>
        <v>98520</v>
      </c>
      <c r="H72" s="31">
        <f>1852*12</f>
        <v>22224</v>
      </c>
      <c r="I72" s="31">
        <f>2720*12</f>
        <v>32640</v>
      </c>
      <c r="J72" s="31">
        <v>12000</v>
      </c>
      <c r="K72" s="32"/>
      <c r="L72" s="32">
        <v>31290</v>
      </c>
      <c r="M72" s="34">
        <v>13536</v>
      </c>
      <c r="N72" s="34">
        <f t="shared" si="29"/>
        <v>19704</v>
      </c>
      <c r="O72" s="34">
        <f t="shared" si="30"/>
        <v>9852</v>
      </c>
      <c r="P72" s="34">
        <f t="shared" si="31"/>
        <v>141246</v>
      </c>
      <c r="Q72" s="5">
        <f t="shared" si="32"/>
        <v>12315</v>
      </c>
      <c r="R72" s="5">
        <f t="shared" si="33"/>
        <v>49260</v>
      </c>
      <c r="S72" s="5"/>
      <c r="T72" s="88">
        <f t="shared" si="34"/>
        <v>301341</v>
      </c>
    </row>
    <row r="73" spans="1:20" ht="27" customHeight="1">
      <c r="A73" s="6">
        <v>6</v>
      </c>
      <c r="B73" s="8" t="s">
        <v>16</v>
      </c>
      <c r="C73" s="45">
        <v>9</v>
      </c>
      <c r="D73" s="45">
        <v>1</v>
      </c>
      <c r="E73" s="45"/>
      <c r="F73" s="45">
        <v>1</v>
      </c>
      <c r="G73" s="5">
        <f>10760*6+11140*6</f>
        <v>131400</v>
      </c>
      <c r="H73" s="31">
        <f>1719*12</f>
        <v>20628</v>
      </c>
      <c r="I73" s="31">
        <f>1840*12</f>
        <v>22080</v>
      </c>
      <c r="J73" s="31">
        <v>12000</v>
      </c>
      <c r="K73" s="32"/>
      <c r="L73" s="32">
        <v>45000</v>
      </c>
      <c r="M73" s="34">
        <v>10440</v>
      </c>
      <c r="N73" s="34">
        <f t="shared" si="29"/>
        <v>26280</v>
      </c>
      <c r="O73" s="34">
        <f t="shared" si="30"/>
        <v>13140</v>
      </c>
      <c r="P73" s="34">
        <f t="shared" si="31"/>
        <v>149568</v>
      </c>
      <c r="Q73" s="5">
        <f t="shared" si="32"/>
        <v>16425</v>
      </c>
      <c r="R73" s="5">
        <f t="shared" si="33"/>
        <v>65700</v>
      </c>
      <c r="S73" s="5"/>
      <c r="T73" s="88">
        <f t="shared" si="34"/>
        <v>363093</v>
      </c>
    </row>
    <row r="74" spans="1:20" ht="27" customHeight="1">
      <c r="A74" s="6">
        <v>7</v>
      </c>
      <c r="B74" s="36" t="s">
        <v>46</v>
      </c>
      <c r="C74" s="45">
        <v>9</v>
      </c>
      <c r="D74" s="45">
        <v>1</v>
      </c>
      <c r="E74" s="45"/>
      <c r="F74" s="45">
        <v>1</v>
      </c>
      <c r="G74" s="5">
        <f>7340*6+7720*6</f>
        <v>90360</v>
      </c>
      <c r="H74" s="31">
        <f>1719*12</f>
        <v>20628</v>
      </c>
      <c r="I74" s="31">
        <f>1840*12</f>
        <v>22080</v>
      </c>
      <c r="J74" s="31">
        <v>12000</v>
      </c>
      <c r="K74" s="32"/>
      <c r="L74" s="32">
        <v>22920</v>
      </c>
      <c r="M74" s="34">
        <v>13685.4</v>
      </c>
      <c r="N74" s="34">
        <f>G74*20%</f>
        <v>18072</v>
      </c>
      <c r="O74" s="34">
        <f t="shared" si="30"/>
        <v>9036</v>
      </c>
      <c r="P74" s="34">
        <f t="shared" si="31"/>
        <v>118421.4</v>
      </c>
      <c r="Q74" s="5">
        <f t="shared" si="32"/>
        <v>11295</v>
      </c>
      <c r="R74" s="5">
        <f>$G74*50%</f>
        <v>45180</v>
      </c>
      <c r="S74" s="5"/>
      <c r="T74" s="88">
        <f t="shared" si="34"/>
        <v>265256.40000000002</v>
      </c>
    </row>
    <row r="75" spans="1:20" ht="27" customHeight="1">
      <c r="A75" s="6">
        <v>8</v>
      </c>
      <c r="B75" s="8" t="s">
        <v>12</v>
      </c>
      <c r="C75" s="45">
        <v>8</v>
      </c>
      <c r="D75" s="45">
        <v>1</v>
      </c>
      <c r="E75" s="45"/>
      <c r="F75" s="45">
        <v>1</v>
      </c>
      <c r="G75" s="5">
        <f>12300*12</f>
        <v>147600</v>
      </c>
      <c r="H75" s="31">
        <f>1649*12</f>
        <v>19788</v>
      </c>
      <c r="I75" s="31">
        <f>1840*12</f>
        <v>22080</v>
      </c>
      <c r="J75" s="31">
        <v>12000</v>
      </c>
      <c r="K75" s="32"/>
      <c r="L75" s="32">
        <v>52230</v>
      </c>
      <c r="M75" s="34">
        <v>10800</v>
      </c>
      <c r="N75" s="34">
        <f t="shared" si="29"/>
        <v>29520</v>
      </c>
      <c r="O75" s="34">
        <f t="shared" si="30"/>
        <v>14760</v>
      </c>
      <c r="P75" s="34">
        <f t="shared" si="31"/>
        <v>161178</v>
      </c>
      <c r="Q75" s="5">
        <f t="shared" si="32"/>
        <v>18450</v>
      </c>
      <c r="R75" s="5">
        <f t="shared" si="33"/>
        <v>73800</v>
      </c>
      <c r="S75" s="5"/>
      <c r="T75" s="88">
        <f t="shared" si="34"/>
        <v>401028</v>
      </c>
    </row>
    <row r="76" spans="1:20" ht="27" customHeight="1">
      <c r="A76" s="6">
        <v>9</v>
      </c>
      <c r="B76" s="8" t="s">
        <v>11</v>
      </c>
      <c r="C76" s="45">
        <v>7</v>
      </c>
      <c r="D76" s="45">
        <v>1</v>
      </c>
      <c r="E76" s="45"/>
      <c r="F76" s="45">
        <v>1</v>
      </c>
      <c r="G76" s="5">
        <f>11240*6+11560*6</f>
        <v>136800</v>
      </c>
      <c r="H76" s="31">
        <f>1589*12</f>
        <v>19068</v>
      </c>
      <c r="I76" s="31">
        <f>1840*12</f>
        <v>22080</v>
      </c>
      <c r="J76" s="31">
        <v>12000</v>
      </c>
      <c r="K76" s="32"/>
      <c r="L76" s="32">
        <v>16836</v>
      </c>
      <c r="M76" s="34">
        <v>14385.6</v>
      </c>
      <c r="N76" s="34">
        <f t="shared" si="29"/>
        <v>27360</v>
      </c>
      <c r="O76" s="34">
        <f t="shared" si="30"/>
        <v>13680</v>
      </c>
      <c r="P76" s="34">
        <f t="shared" si="31"/>
        <v>125409.60000000001</v>
      </c>
      <c r="Q76" s="5">
        <f t="shared" si="32"/>
        <v>17100</v>
      </c>
      <c r="R76" s="5">
        <f t="shared" si="33"/>
        <v>68400</v>
      </c>
      <c r="S76" s="5"/>
      <c r="T76" s="88">
        <f t="shared" si="34"/>
        <v>347709.6</v>
      </c>
    </row>
    <row r="77" spans="1:20" ht="27" customHeight="1">
      <c r="A77" s="6">
        <v>10</v>
      </c>
      <c r="B77" s="36" t="s">
        <v>28</v>
      </c>
      <c r="C77" s="45">
        <v>5</v>
      </c>
      <c r="D77" s="45">
        <v>1</v>
      </c>
      <c r="E77" s="45"/>
      <c r="F77" s="45">
        <v>1</v>
      </c>
      <c r="G77" s="5">
        <f>12160*6+12420*6</f>
        <v>147480</v>
      </c>
      <c r="H77" s="31">
        <f>1503*12</f>
        <v>18036</v>
      </c>
      <c r="I77" s="31">
        <f>1840*12</f>
        <v>22080</v>
      </c>
      <c r="J77" s="31">
        <v>12000</v>
      </c>
      <c r="K77" s="32"/>
      <c r="L77" s="32">
        <v>43080</v>
      </c>
      <c r="M77" s="34">
        <v>19690.2</v>
      </c>
      <c r="N77" s="34">
        <f t="shared" si="29"/>
        <v>29496</v>
      </c>
      <c r="O77" s="34">
        <f t="shared" si="30"/>
        <v>14748</v>
      </c>
      <c r="P77" s="34">
        <f t="shared" si="31"/>
        <v>159130.20000000001</v>
      </c>
      <c r="Q77" s="5">
        <f t="shared" si="32"/>
        <v>18435</v>
      </c>
      <c r="R77" s="5">
        <f t="shared" si="33"/>
        <v>73740</v>
      </c>
      <c r="S77" s="5"/>
      <c r="T77" s="88">
        <f t="shared" si="34"/>
        <v>398785.2</v>
      </c>
    </row>
    <row r="78" spans="1:20" ht="27" customHeight="1">
      <c r="A78" s="6">
        <v>11</v>
      </c>
      <c r="B78" s="8" t="s">
        <v>13</v>
      </c>
      <c r="C78" s="45">
        <v>2</v>
      </c>
      <c r="D78" s="45">
        <v>5</v>
      </c>
      <c r="E78" s="45"/>
      <c r="F78" s="45">
        <v>5</v>
      </c>
      <c r="G78" s="5">
        <f>(10340+8980+8300+8810+4900)*6+(10510+9150+8470+8980+4900)*6</f>
        <v>500040</v>
      </c>
      <c r="H78" s="31">
        <f>1366*5*12</f>
        <v>81960</v>
      </c>
      <c r="I78" s="31">
        <f>1700*5*12</f>
        <v>102000</v>
      </c>
      <c r="J78" s="31">
        <v>60000</v>
      </c>
      <c r="K78" s="32">
        <f>300*5*12</f>
        <v>18000</v>
      </c>
      <c r="L78" s="32">
        <v>158950</v>
      </c>
      <c r="M78" s="34">
        <v>76923</v>
      </c>
      <c r="N78" s="34">
        <f t="shared" si="29"/>
        <v>100008</v>
      </c>
      <c r="O78" s="34">
        <f t="shared" si="30"/>
        <v>50004</v>
      </c>
      <c r="P78" s="34">
        <f t="shared" si="31"/>
        <v>647845</v>
      </c>
      <c r="Q78" s="5">
        <f t="shared" si="32"/>
        <v>62505</v>
      </c>
      <c r="R78" s="5">
        <f t="shared" si="33"/>
        <v>250020</v>
      </c>
      <c r="S78" s="5"/>
      <c r="T78" s="88">
        <f t="shared" si="34"/>
        <v>1460410</v>
      </c>
    </row>
    <row r="79" spans="1:20" ht="27" customHeight="1" thickBot="1">
      <c r="A79" s="6">
        <v>12</v>
      </c>
      <c r="B79" s="8" t="s">
        <v>44</v>
      </c>
      <c r="C79" s="45">
        <v>2</v>
      </c>
      <c r="D79" s="45">
        <v>3</v>
      </c>
      <c r="E79" s="45"/>
      <c r="F79" s="45">
        <v>3</v>
      </c>
      <c r="G79" s="5">
        <f>(8130+10340+5410)*6+(8300+10510+5580)*6</f>
        <v>289620</v>
      </c>
      <c r="H79" s="31">
        <f>1366*3*12</f>
        <v>49176</v>
      </c>
      <c r="I79" s="31">
        <f>1700*3*12</f>
        <v>61200</v>
      </c>
      <c r="J79" s="31">
        <v>36000</v>
      </c>
      <c r="K79" s="32">
        <f>300*3*12</f>
        <v>10800</v>
      </c>
      <c r="L79" s="32">
        <v>100830</v>
      </c>
      <c r="M79" s="34">
        <v>47104.2</v>
      </c>
      <c r="N79" s="34">
        <f t="shared" si="29"/>
        <v>57924</v>
      </c>
      <c r="O79" s="34">
        <f t="shared" si="30"/>
        <v>28962</v>
      </c>
      <c r="P79" s="34">
        <f t="shared" si="31"/>
        <v>391996.2</v>
      </c>
      <c r="Q79" s="5">
        <f t="shared" si="32"/>
        <v>36202.5</v>
      </c>
      <c r="R79" s="5">
        <f t="shared" si="33"/>
        <v>144810</v>
      </c>
      <c r="S79" s="5"/>
      <c r="T79" s="88">
        <f t="shared" si="34"/>
        <v>862628.7</v>
      </c>
    </row>
    <row r="80" spans="1:20" ht="20.100000000000001" customHeight="1" thickBot="1">
      <c r="A80" s="359" t="s">
        <v>1</v>
      </c>
      <c r="B80" s="360"/>
      <c r="C80" s="60"/>
      <c r="D80" s="58">
        <f>SUM(D68:D79)</f>
        <v>21</v>
      </c>
      <c r="E80" s="58">
        <f>SUM(E68:E79)</f>
        <v>0</v>
      </c>
      <c r="F80" s="58">
        <f>SUM(F68:F79)</f>
        <v>21</v>
      </c>
      <c r="G80" s="59">
        <f>SUM(G68:G79)</f>
        <v>3153420</v>
      </c>
      <c r="H80" s="59">
        <f t="shared" ref="H80:R80" si="35">SUM(H68:H79)</f>
        <v>480768</v>
      </c>
      <c r="I80" s="59">
        <f t="shared" si="35"/>
        <v>562080</v>
      </c>
      <c r="J80" s="59">
        <f t="shared" si="35"/>
        <v>271608</v>
      </c>
      <c r="K80" s="59">
        <f t="shared" si="35"/>
        <v>28800</v>
      </c>
      <c r="L80" s="59">
        <f t="shared" si="35"/>
        <v>834635</v>
      </c>
      <c r="M80" s="59">
        <f t="shared" si="35"/>
        <v>396342.6</v>
      </c>
      <c r="N80" s="59">
        <f t="shared" si="35"/>
        <v>630684</v>
      </c>
      <c r="O80" s="59">
        <f t="shared" si="35"/>
        <v>315342</v>
      </c>
      <c r="P80" s="59">
        <f t="shared" si="35"/>
        <v>3520259.6000000006</v>
      </c>
      <c r="Q80" s="59">
        <f>SUM(Q68:Q79)</f>
        <v>394177.5</v>
      </c>
      <c r="R80" s="59">
        <f t="shared" si="35"/>
        <v>1576710</v>
      </c>
      <c r="S80" s="59">
        <v>110000</v>
      </c>
      <c r="T80" s="59">
        <f>G80+P80+Q80+R80+S80</f>
        <v>8754567.1000000015</v>
      </c>
    </row>
    <row r="81" spans="1:20" s="37" customFormat="1" ht="24" customHeight="1" thickBot="1">
      <c r="A81" s="361" t="s">
        <v>40</v>
      </c>
      <c r="B81" s="362"/>
      <c r="C81" s="36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4"/>
    </row>
    <row r="82" spans="1:20" ht="21.75" customHeight="1">
      <c r="A82" s="17">
        <v>1</v>
      </c>
      <c r="B82" s="51" t="s">
        <v>40</v>
      </c>
      <c r="C82" s="52">
        <v>18</v>
      </c>
      <c r="D82" s="45">
        <v>1</v>
      </c>
      <c r="E82" s="45"/>
      <c r="F82" s="45">
        <v>1</v>
      </c>
      <c r="G82" s="5">
        <f>24500*12</f>
        <v>294000</v>
      </c>
      <c r="H82" s="31">
        <f>5810*12</f>
        <v>69720</v>
      </c>
      <c r="I82" s="31">
        <f>5000*12</f>
        <v>60000</v>
      </c>
      <c r="J82" s="31">
        <v>31608</v>
      </c>
      <c r="K82" s="31"/>
      <c r="L82" s="29">
        <v>87199</v>
      </c>
      <c r="M82" s="34">
        <v>27411</v>
      </c>
      <c r="N82" s="34">
        <f t="shared" ref="N82:N100" si="36">G82*20%</f>
        <v>58800</v>
      </c>
      <c r="O82" s="34">
        <f t="shared" ref="O82:O100" si="37">SUM($G82*10%)</f>
        <v>29400</v>
      </c>
      <c r="P82" s="34">
        <f t="shared" ref="P82:P100" si="38">SUM($H82+$I82+$J82+$K82+$L82+$M82+$N82+$O82)</f>
        <v>364138</v>
      </c>
      <c r="Q82" s="5">
        <f t="shared" ref="Q82:Q100" si="39">G82*12.5%</f>
        <v>36750</v>
      </c>
      <c r="R82" s="5">
        <f t="shared" ref="R82:R100" si="40">$G82*50%</f>
        <v>147000</v>
      </c>
      <c r="S82" s="5"/>
      <c r="T82" s="88">
        <f t="shared" ref="T82:T100" si="41">SUM(G82+Q82+P82+R82)</f>
        <v>841888</v>
      </c>
    </row>
    <row r="83" spans="1:20" ht="21.75" customHeight="1">
      <c r="A83" s="6">
        <v>2</v>
      </c>
      <c r="B83" s="25" t="s">
        <v>53</v>
      </c>
      <c r="C83" s="45">
        <v>17</v>
      </c>
      <c r="D83" s="45">
        <v>2</v>
      </c>
      <c r="E83" s="45"/>
      <c r="F83" s="45">
        <v>2</v>
      </c>
      <c r="G83" s="5">
        <f>(38800+17200)*6+(40000+18400)*6</f>
        <v>686400</v>
      </c>
      <c r="H83" s="31">
        <f>4433*2*12</f>
        <v>106392</v>
      </c>
      <c r="I83" s="31">
        <f>5000*12*2</f>
        <v>120000</v>
      </c>
      <c r="J83" s="31">
        <v>48780</v>
      </c>
      <c r="K83" s="32"/>
      <c r="L83" s="31">
        <v>230200</v>
      </c>
      <c r="M83" s="34">
        <v>57600</v>
      </c>
      <c r="N83" s="34">
        <f t="shared" si="36"/>
        <v>137280</v>
      </c>
      <c r="O83" s="34">
        <f t="shared" si="37"/>
        <v>68640</v>
      </c>
      <c r="P83" s="34">
        <f t="shared" si="38"/>
        <v>768892</v>
      </c>
      <c r="Q83" s="5">
        <f t="shared" si="39"/>
        <v>85800</v>
      </c>
      <c r="R83" s="5">
        <f t="shared" si="40"/>
        <v>343200</v>
      </c>
      <c r="S83" s="5"/>
      <c r="T83" s="88">
        <f t="shared" si="41"/>
        <v>1884292</v>
      </c>
    </row>
    <row r="84" spans="1:20" ht="21.75" customHeight="1">
      <c r="A84" s="17">
        <v>3</v>
      </c>
      <c r="B84" s="25" t="s">
        <v>15</v>
      </c>
      <c r="C84" s="45">
        <v>15</v>
      </c>
      <c r="D84" s="45">
        <v>1</v>
      </c>
      <c r="E84" s="45"/>
      <c r="F84" s="45">
        <v>1</v>
      </c>
      <c r="G84" s="5">
        <f>17600*12</f>
        <v>211200</v>
      </c>
      <c r="H84" s="31">
        <f>2349*12</f>
        <v>28188</v>
      </c>
      <c r="I84" s="31">
        <f>2720*12</f>
        <v>32640</v>
      </c>
      <c r="J84" s="31">
        <v>12000</v>
      </c>
      <c r="K84" s="32"/>
      <c r="L84" s="31">
        <v>61680</v>
      </c>
      <c r="M84" s="34">
        <v>16596</v>
      </c>
      <c r="N84" s="34">
        <f t="shared" si="36"/>
        <v>42240</v>
      </c>
      <c r="O84" s="34">
        <f t="shared" si="37"/>
        <v>21120</v>
      </c>
      <c r="P84" s="34">
        <f t="shared" si="38"/>
        <v>214464</v>
      </c>
      <c r="Q84" s="5">
        <f t="shared" si="39"/>
        <v>26400</v>
      </c>
      <c r="R84" s="5">
        <f t="shared" si="40"/>
        <v>105600</v>
      </c>
      <c r="S84" s="5"/>
      <c r="T84" s="88">
        <f t="shared" si="41"/>
        <v>557664</v>
      </c>
    </row>
    <row r="85" spans="1:20" ht="21.75" customHeight="1">
      <c r="A85" s="6">
        <v>4</v>
      </c>
      <c r="B85" s="25" t="s">
        <v>26</v>
      </c>
      <c r="C85" s="45" t="s">
        <v>82</v>
      </c>
      <c r="D85" s="45">
        <v>5</v>
      </c>
      <c r="E85" s="45"/>
      <c r="F85" s="45">
        <v>5</v>
      </c>
      <c r="G85" s="5">
        <f>(20810+17760+15320+17760+27600)*6+(21420+18370+15930+18370+28400)*6</f>
        <v>1210440</v>
      </c>
      <c r="H85" s="31">
        <f>(2214*4*12+2727*12)</f>
        <v>138996</v>
      </c>
      <c r="I85" s="31">
        <f>2720*5*12</f>
        <v>163200</v>
      </c>
      <c r="J85" s="31">
        <v>60000</v>
      </c>
      <c r="K85" s="32"/>
      <c r="L85" s="31">
        <v>351906</v>
      </c>
      <c r="M85" s="34">
        <v>162540</v>
      </c>
      <c r="N85" s="34">
        <f t="shared" si="36"/>
        <v>242088</v>
      </c>
      <c r="O85" s="34">
        <f t="shared" si="37"/>
        <v>121044</v>
      </c>
      <c r="P85" s="34">
        <f t="shared" si="38"/>
        <v>1239774</v>
      </c>
      <c r="Q85" s="5">
        <f t="shared" si="39"/>
        <v>151305</v>
      </c>
      <c r="R85" s="5">
        <f t="shared" si="40"/>
        <v>605220</v>
      </c>
      <c r="S85" s="5"/>
      <c r="T85" s="88">
        <f t="shared" si="41"/>
        <v>3206739</v>
      </c>
    </row>
    <row r="86" spans="1:20" ht="21.75" customHeight="1">
      <c r="A86" s="17">
        <v>5</v>
      </c>
      <c r="B86" s="25" t="s">
        <v>52</v>
      </c>
      <c r="C86" s="45">
        <v>13</v>
      </c>
      <c r="D86" s="45">
        <v>1</v>
      </c>
      <c r="E86" s="45"/>
      <c r="F86" s="45">
        <v>1</v>
      </c>
      <c r="G86" s="5">
        <f>23450*6+24000*6</f>
        <v>284700</v>
      </c>
      <c r="H86" s="31">
        <f>2090*12</f>
        <v>25080</v>
      </c>
      <c r="I86" s="31">
        <f>2720*12</f>
        <v>32640</v>
      </c>
      <c r="J86" s="31">
        <v>12000</v>
      </c>
      <c r="K86" s="32"/>
      <c r="L86" s="31">
        <v>82950</v>
      </c>
      <c r="M86" s="34">
        <v>37605.599999999999</v>
      </c>
      <c r="N86" s="34">
        <f t="shared" si="36"/>
        <v>56940</v>
      </c>
      <c r="O86" s="34">
        <f t="shared" si="37"/>
        <v>28470</v>
      </c>
      <c r="P86" s="34">
        <f t="shared" si="38"/>
        <v>275685.59999999998</v>
      </c>
      <c r="Q86" s="5">
        <f t="shared" si="39"/>
        <v>35587.5</v>
      </c>
      <c r="R86" s="5">
        <f t="shared" si="40"/>
        <v>142350</v>
      </c>
      <c r="S86" s="5"/>
      <c r="T86" s="88">
        <f t="shared" si="41"/>
        <v>738323.1</v>
      </c>
    </row>
    <row r="87" spans="1:20" ht="24.75" customHeight="1">
      <c r="A87" s="6">
        <v>6</v>
      </c>
      <c r="B87" s="26" t="s">
        <v>10</v>
      </c>
      <c r="C87" s="45">
        <v>11</v>
      </c>
      <c r="D87" s="45">
        <v>1</v>
      </c>
      <c r="E87" s="45"/>
      <c r="F87" s="45">
        <v>1</v>
      </c>
      <c r="G87" s="5">
        <f>7980*6+8440*6</f>
        <v>98520</v>
      </c>
      <c r="H87" s="31">
        <f>1852*12</f>
        <v>22224</v>
      </c>
      <c r="I87" s="31">
        <f>2720*12</f>
        <v>32640</v>
      </c>
      <c r="J87" s="31">
        <v>12000</v>
      </c>
      <c r="K87" s="32"/>
      <c r="L87" s="31">
        <v>31290</v>
      </c>
      <c r="M87" s="34">
        <v>13536</v>
      </c>
      <c r="N87" s="34">
        <f t="shared" si="36"/>
        <v>19704</v>
      </c>
      <c r="O87" s="34">
        <f t="shared" si="37"/>
        <v>9852</v>
      </c>
      <c r="P87" s="34">
        <f t="shared" si="38"/>
        <v>141246</v>
      </c>
      <c r="Q87" s="5">
        <f t="shared" si="39"/>
        <v>12315</v>
      </c>
      <c r="R87" s="5">
        <f t="shared" si="40"/>
        <v>49260</v>
      </c>
      <c r="S87" s="5"/>
      <c r="T87" s="88">
        <f t="shared" si="41"/>
        <v>301341</v>
      </c>
    </row>
    <row r="88" spans="1:20" ht="21.75" customHeight="1">
      <c r="A88" s="6">
        <v>7</v>
      </c>
      <c r="B88" s="25" t="s">
        <v>31</v>
      </c>
      <c r="C88" s="45">
        <v>8</v>
      </c>
      <c r="D88" s="45">
        <v>2</v>
      </c>
      <c r="E88" s="45"/>
      <c r="F88" s="45">
        <v>2</v>
      </c>
      <c r="G88" s="5">
        <f>(15800+14400)*6+(16150+14750)*6</f>
        <v>366600</v>
      </c>
      <c r="H88" s="31">
        <f>1649*2*12</f>
        <v>39576</v>
      </c>
      <c r="I88" s="31">
        <f>1840*2*12</f>
        <v>44160</v>
      </c>
      <c r="J88" s="31">
        <v>24000</v>
      </c>
      <c r="K88" s="32"/>
      <c r="L88" s="31">
        <v>62880</v>
      </c>
      <c r="M88" s="34">
        <v>43614</v>
      </c>
      <c r="N88" s="34">
        <f t="shared" si="36"/>
        <v>73320</v>
      </c>
      <c r="O88" s="34">
        <f t="shared" si="37"/>
        <v>36660</v>
      </c>
      <c r="P88" s="34">
        <f t="shared" si="38"/>
        <v>324210</v>
      </c>
      <c r="Q88" s="5">
        <f t="shared" si="39"/>
        <v>45825</v>
      </c>
      <c r="R88" s="5">
        <f t="shared" si="40"/>
        <v>183300</v>
      </c>
      <c r="S88" s="5"/>
      <c r="T88" s="88">
        <f t="shared" si="41"/>
        <v>919935</v>
      </c>
    </row>
    <row r="89" spans="1:20" ht="24" customHeight="1">
      <c r="A89" s="6">
        <v>8</v>
      </c>
      <c r="B89" s="26" t="s">
        <v>57</v>
      </c>
      <c r="C89" s="45">
        <v>8</v>
      </c>
      <c r="D89" s="45">
        <v>2</v>
      </c>
      <c r="E89" s="45"/>
      <c r="F89" s="45">
        <v>2</v>
      </c>
      <c r="G89" s="5">
        <f>(15800+14400)*6+(16150+14750)*6</f>
        <v>366600</v>
      </c>
      <c r="H89" s="31">
        <v>39576</v>
      </c>
      <c r="I89" s="31">
        <f>1840*2*12</f>
        <v>44160</v>
      </c>
      <c r="J89" s="31">
        <v>24000</v>
      </c>
      <c r="K89" s="32"/>
      <c r="L89" s="31">
        <v>104460</v>
      </c>
      <c r="M89" s="34">
        <v>47246.400000000001</v>
      </c>
      <c r="N89" s="34">
        <f t="shared" si="36"/>
        <v>73320</v>
      </c>
      <c r="O89" s="34">
        <f t="shared" si="37"/>
        <v>36660</v>
      </c>
      <c r="P89" s="34">
        <f t="shared" si="38"/>
        <v>369422.4</v>
      </c>
      <c r="Q89" s="5">
        <f t="shared" si="39"/>
        <v>45825</v>
      </c>
      <c r="R89" s="5">
        <f t="shared" si="40"/>
        <v>183300</v>
      </c>
      <c r="S89" s="5"/>
      <c r="T89" s="88">
        <f t="shared" si="41"/>
        <v>965147.4</v>
      </c>
    </row>
    <row r="90" spans="1:20" ht="21.75" customHeight="1">
      <c r="A90" s="17">
        <v>9</v>
      </c>
      <c r="B90" s="25" t="s">
        <v>65</v>
      </c>
      <c r="C90" s="45">
        <v>7</v>
      </c>
      <c r="D90" s="45">
        <v>4</v>
      </c>
      <c r="E90" s="45"/>
      <c r="F90" s="45">
        <v>4</v>
      </c>
      <c r="G90" s="5">
        <f>(11240+12200+6760+6760)*6+(11560+12520+7080+7080)*6</f>
        <v>451200</v>
      </c>
      <c r="H90" s="31">
        <f>1589*4*12</f>
        <v>76272</v>
      </c>
      <c r="I90" s="31">
        <f>1840*4*12</f>
        <v>88320</v>
      </c>
      <c r="J90" s="31">
        <v>48000</v>
      </c>
      <c r="K90" s="32"/>
      <c r="L90" s="31">
        <v>107640</v>
      </c>
      <c r="M90" s="34">
        <v>46368</v>
      </c>
      <c r="N90" s="34">
        <f t="shared" si="36"/>
        <v>90240</v>
      </c>
      <c r="O90" s="34">
        <f t="shared" si="37"/>
        <v>45120</v>
      </c>
      <c r="P90" s="34">
        <f t="shared" si="38"/>
        <v>501960</v>
      </c>
      <c r="Q90" s="5">
        <f t="shared" si="39"/>
        <v>56400</v>
      </c>
      <c r="R90" s="5">
        <f t="shared" si="40"/>
        <v>225600</v>
      </c>
      <c r="S90" s="5"/>
      <c r="T90" s="88">
        <f t="shared" si="41"/>
        <v>1235160</v>
      </c>
    </row>
    <row r="91" spans="1:20" ht="21.75" customHeight="1">
      <c r="A91" s="6">
        <v>10</v>
      </c>
      <c r="B91" s="25" t="s">
        <v>28</v>
      </c>
      <c r="C91" s="45">
        <v>5</v>
      </c>
      <c r="D91" s="45">
        <v>1</v>
      </c>
      <c r="E91" s="45"/>
      <c r="F91" s="45">
        <v>1</v>
      </c>
      <c r="G91" s="5">
        <f>12160*6+12420*6</f>
        <v>147480</v>
      </c>
      <c r="H91" s="31">
        <f>1503*12</f>
        <v>18036</v>
      </c>
      <c r="I91" s="31">
        <f>1840*12</f>
        <v>22080</v>
      </c>
      <c r="J91" s="31">
        <v>12000</v>
      </c>
      <c r="K91" s="32"/>
      <c r="L91" s="31">
        <v>43080</v>
      </c>
      <c r="M91" s="34">
        <v>19690.2</v>
      </c>
      <c r="N91" s="34">
        <f t="shared" si="36"/>
        <v>29496</v>
      </c>
      <c r="O91" s="34">
        <f t="shared" si="37"/>
        <v>14748</v>
      </c>
      <c r="P91" s="34">
        <f t="shared" si="38"/>
        <v>159130.20000000001</v>
      </c>
      <c r="Q91" s="5">
        <f t="shared" si="39"/>
        <v>18435</v>
      </c>
      <c r="R91" s="5">
        <f t="shared" si="40"/>
        <v>73740</v>
      </c>
      <c r="S91" s="5"/>
      <c r="T91" s="88">
        <f t="shared" si="41"/>
        <v>398785.2</v>
      </c>
    </row>
    <row r="92" spans="1:20" ht="21.75" customHeight="1">
      <c r="A92" s="17">
        <v>11</v>
      </c>
      <c r="B92" s="8" t="s">
        <v>54</v>
      </c>
      <c r="C92" s="45">
        <v>5</v>
      </c>
      <c r="D92" s="45">
        <v>1</v>
      </c>
      <c r="E92" s="45"/>
      <c r="F92" s="45">
        <v>1</v>
      </c>
      <c r="G92" s="5">
        <f>13460*6+13720*6</f>
        <v>163080</v>
      </c>
      <c r="H92" s="31">
        <f>1503*12</f>
        <v>18036</v>
      </c>
      <c r="I92" s="31">
        <f>1840*12</f>
        <v>22080</v>
      </c>
      <c r="J92" s="31">
        <v>12000</v>
      </c>
      <c r="K92" s="32"/>
      <c r="L92" s="31">
        <v>48380</v>
      </c>
      <c r="M92" s="34">
        <v>21862.799999999999</v>
      </c>
      <c r="N92" s="34">
        <f t="shared" si="36"/>
        <v>32616</v>
      </c>
      <c r="O92" s="34">
        <f t="shared" si="37"/>
        <v>16308</v>
      </c>
      <c r="P92" s="34">
        <f t="shared" si="38"/>
        <v>171282.8</v>
      </c>
      <c r="Q92" s="5">
        <f t="shared" si="39"/>
        <v>20385</v>
      </c>
      <c r="R92" s="5">
        <f t="shared" si="40"/>
        <v>81540</v>
      </c>
      <c r="S92" s="5"/>
      <c r="T92" s="88">
        <f t="shared" si="41"/>
        <v>436287.8</v>
      </c>
    </row>
    <row r="93" spans="1:20" ht="21.75" customHeight="1">
      <c r="A93" s="6">
        <v>12</v>
      </c>
      <c r="B93" s="8" t="s">
        <v>32</v>
      </c>
      <c r="C93" s="45">
        <v>5</v>
      </c>
      <c r="D93" s="45">
        <v>1</v>
      </c>
      <c r="E93" s="45"/>
      <c r="F93" s="45">
        <v>1</v>
      </c>
      <c r="G93" s="5">
        <f>5920*12</f>
        <v>71040</v>
      </c>
      <c r="H93" s="31">
        <f>1503*12</f>
        <v>18036</v>
      </c>
      <c r="I93" s="31">
        <f>1840*12</f>
        <v>22080</v>
      </c>
      <c r="J93" s="31">
        <v>12000</v>
      </c>
      <c r="K93" s="32"/>
      <c r="L93" s="31">
        <v>36540</v>
      </c>
      <c r="M93" s="34">
        <v>9720</v>
      </c>
      <c r="N93" s="34">
        <f t="shared" si="36"/>
        <v>14208</v>
      </c>
      <c r="O93" s="34">
        <f t="shared" si="37"/>
        <v>7104</v>
      </c>
      <c r="P93" s="34">
        <f t="shared" si="38"/>
        <v>119688</v>
      </c>
      <c r="Q93" s="5">
        <f t="shared" si="39"/>
        <v>8880</v>
      </c>
      <c r="R93" s="5">
        <f t="shared" si="40"/>
        <v>35520</v>
      </c>
      <c r="S93" s="5"/>
      <c r="T93" s="88">
        <f t="shared" si="41"/>
        <v>235128</v>
      </c>
    </row>
    <row r="94" spans="1:20" ht="21.75" customHeight="1">
      <c r="A94" s="17">
        <v>13</v>
      </c>
      <c r="B94" s="8" t="s">
        <v>30</v>
      </c>
      <c r="C94" s="45">
        <v>5</v>
      </c>
      <c r="D94" s="45">
        <v>1</v>
      </c>
      <c r="E94" s="45"/>
      <c r="F94" s="45">
        <v>1</v>
      </c>
      <c r="G94" s="5">
        <f>12160*6+12420*6</f>
        <v>147480</v>
      </c>
      <c r="H94" s="31">
        <f>1503*12</f>
        <v>18036</v>
      </c>
      <c r="I94" s="31">
        <f>1840*12</f>
        <v>22080</v>
      </c>
      <c r="J94" s="31">
        <v>12000</v>
      </c>
      <c r="K94" s="32"/>
      <c r="L94" s="31">
        <v>43260</v>
      </c>
      <c r="M94" s="34">
        <v>19690.2</v>
      </c>
      <c r="N94" s="34">
        <f t="shared" si="36"/>
        <v>29496</v>
      </c>
      <c r="O94" s="34">
        <f t="shared" si="37"/>
        <v>14748</v>
      </c>
      <c r="P94" s="34">
        <f t="shared" si="38"/>
        <v>159310.20000000001</v>
      </c>
      <c r="Q94" s="5">
        <f t="shared" si="39"/>
        <v>18435</v>
      </c>
      <c r="R94" s="5">
        <f t="shared" si="40"/>
        <v>73740</v>
      </c>
      <c r="S94" s="5"/>
      <c r="T94" s="88">
        <f t="shared" si="41"/>
        <v>398965.2</v>
      </c>
    </row>
    <row r="95" spans="1:20" ht="21.75" customHeight="1">
      <c r="A95" s="6">
        <v>14</v>
      </c>
      <c r="B95" s="89" t="s">
        <v>21</v>
      </c>
      <c r="C95" s="45">
        <v>5</v>
      </c>
      <c r="D95" s="45">
        <v>22</v>
      </c>
      <c r="E95" s="45"/>
      <c r="F95" s="45">
        <v>22</v>
      </c>
      <c r="G95" s="5">
        <f>(11640+6180+6180+6180+6180+6180+6180+6180+6180+6180+9300+9300+9300+9300+9040+9040+8780+8780+9300+9300+5400+5400)*6+(11900+6440+6440+6440+6440+6440+6440+6440+6440+6440+9560+9560+9560+9560+9300+9300+8980+8980+9560+9560+5400+5400)*6</f>
        <v>2064480</v>
      </c>
      <c r="H95" s="31">
        <f>1503*22*12</f>
        <v>396792</v>
      </c>
      <c r="I95" s="31">
        <f>1700*22*12</f>
        <v>448800</v>
      </c>
      <c r="J95" s="31">
        <v>264000</v>
      </c>
      <c r="K95" s="32"/>
      <c r="L95" s="86">
        <v>566654</v>
      </c>
      <c r="M95" s="34">
        <v>213840</v>
      </c>
      <c r="N95" s="34">
        <f t="shared" si="36"/>
        <v>412896</v>
      </c>
      <c r="O95" s="34">
        <f t="shared" si="37"/>
        <v>206448</v>
      </c>
      <c r="P95" s="34">
        <f t="shared" si="38"/>
        <v>2509430</v>
      </c>
      <c r="Q95" s="5">
        <f t="shared" si="39"/>
        <v>258060</v>
      </c>
      <c r="R95" s="5">
        <f t="shared" si="40"/>
        <v>1032240</v>
      </c>
      <c r="S95" s="5"/>
      <c r="T95" s="88">
        <f t="shared" si="41"/>
        <v>5864210</v>
      </c>
    </row>
    <row r="96" spans="1:20" ht="21.75" customHeight="1">
      <c r="A96" s="17">
        <v>15</v>
      </c>
      <c r="B96" s="25" t="s">
        <v>55</v>
      </c>
      <c r="C96" s="45">
        <v>5</v>
      </c>
      <c r="D96" s="45">
        <v>1</v>
      </c>
      <c r="E96" s="45"/>
      <c r="F96" s="45">
        <v>1</v>
      </c>
      <c r="G96" s="5">
        <f>6180*6+6440*6</f>
        <v>75720</v>
      </c>
      <c r="H96" s="31">
        <v>18036</v>
      </c>
      <c r="I96" s="31">
        <f>1840*12</f>
        <v>22080</v>
      </c>
      <c r="J96" s="31">
        <v>12000</v>
      </c>
      <c r="K96" s="32"/>
      <c r="L96" s="31">
        <v>22920</v>
      </c>
      <c r="M96" s="34">
        <v>9840</v>
      </c>
      <c r="N96" s="34">
        <f t="shared" si="36"/>
        <v>15144</v>
      </c>
      <c r="O96" s="34">
        <f t="shared" si="37"/>
        <v>7572</v>
      </c>
      <c r="P96" s="34">
        <f t="shared" si="38"/>
        <v>107592</v>
      </c>
      <c r="Q96" s="5">
        <f t="shared" si="39"/>
        <v>9465</v>
      </c>
      <c r="R96" s="5">
        <f t="shared" si="40"/>
        <v>37860</v>
      </c>
      <c r="S96" s="5"/>
      <c r="T96" s="88">
        <f t="shared" si="41"/>
        <v>230637</v>
      </c>
    </row>
    <row r="97" spans="1:21" ht="21.75" customHeight="1">
      <c r="A97" s="6">
        <v>16</v>
      </c>
      <c r="B97" s="26" t="s">
        <v>58</v>
      </c>
      <c r="C97" s="45">
        <v>2</v>
      </c>
      <c r="D97" s="45">
        <v>2</v>
      </c>
      <c r="E97" s="45"/>
      <c r="F97" s="45">
        <v>2</v>
      </c>
      <c r="G97" s="5">
        <f>9660*6+9830*6</f>
        <v>116940</v>
      </c>
      <c r="H97" s="31">
        <f>1366*2*12</f>
        <v>32784</v>
      </c>
      <c r="I97" s="31">
        <f>1700*2*12</f>
        <v>40800</v>
      </c>
      <c r="J97" s="31">
        <v>24000</v>
      </c>
      <c r="K97" s="32">
        <f>300*2*12</f>
        <v>7200</v>
      </c>
      <c r="L97" s="31">
        <v>68820</v>
      </c>
      <c r="M97" s="34">
        <v>30481.199999999997</v>
      </c>
      <c r="N97" s="34">
        <f t="shared" si="36"/>
        <v>23388</v>
      </c>
      <c r="O97" s="34">
        <f t="shared" si="37"/>
        <v>11694</v>
      </c>
      <c r="P97" s="34">
        <f t="shared" si="38"/>
        <v>239167.2</v>
      </c>
      <c r="Q97" s="5">
        <f t="shared" si="39"/>
        <v>14617.5</v>
      </c>
      <c r="R97" s="5">
        <f t="shared" si="40"/>
        <v>58470</v>
      </c>
      <c r="S97" s="5"/>
      <c r="T97" s="88">
        <f t="shared" si="41"/>
        <v>429194.7</v>
      </c>
    </row>
    <row r="98" spans="1:21" ht="21.75" customHeight="1">
      <c r="A98" s="17">
        <v>17</v>
      </c>
      <c r="B98" s="89" t="s">
        <v>56</v>
      </c>
      <c r="C98" s="46">
        <v>2</v>
      </c>
      <c r="D98" s="45">
        <v>20</v>
      </c>
      <c r="E98" s="45"/>
      <c r="F98" s="45">
        <v>20</v>
      </c>
      <c r="G98" s="5">
        <f>(5410*16+7450*2+4900*2)*6+(5580*16+7620*2+4900*2)*6</f>
        <v>1353480</v>
      </c>
      <c r="H98" s="31">
        <f>1366*20*12</f>
        <v>327840</v>
      </c>
      <c r="I98" s="31">
        <f>1700*20*12</f>
        <v>408000</v>
      </c>
      <c r="J98" s="31">
        <v>240000</v>
      </c>
      <c r="K98" s="32">
        <f>300*20*12</f>
        <v>72000</v>
      </c>
      <c r="L98" s="31">
        <v>370200</v>
      </c>
      <c r="M98" s="34">
        <v>176035</v>
      </c>
      <c r="N98" s="34">
        <f t="shared" si="36"/>
        <v>270696</v>
      </c>
      <c r="O98" s="34">
        <f t="shared" si="37"/>
        <v>135348</v>
      </c>
      <c r="P98" s="34">
        <f t="shared" si="38"/>
        <v>2000119</v>
      </c>
      <c r="Q98" s="5">
        <f t="shared" si="39"/>
        <v>169185</v>
      </c>
      <c r="R98" s="5">
        <f t="shared" si="40"/>
        <v>676740</v>
      </c>
      <c r="S98" s="5"/>
      <c r="T98" s="88">
        <f t="shared" si="41"/>
        <v>4199524</v>
      </c>
    </row>
    <row r="99" spans="1:21" ht="21.75" customHeight="1">
      <c r="A99" s="6">
        <v>18</v>
      </c>
      <c r="B99" s="86" t="s">
        <v>66</v>
      </c>
      <c r="C99" s="45">
        <v>2</v>
      </c>
      <c r="D99" s="45">
        <v>7</v>
      </c>
      <c r="E99" s="45"/>
      <c r="F99" s="45">
        <v>7</v>
      </c>
      <c r="G99" s="5">
        <f>(8980+5410+9660+5240+5410+5410+5410)*6+(9150+5580+9830+5410+5580+5580+5580)</f>
        <v>319830</v>
      </c>
      <c r="H99" s="31">
        <f>1366*7*12</f>
        <v>114744</v>
      </c>
      <c r="I99" s="31">
        <f>1700*7*12</f>
        <v>142800</v>
      </c>
      <c r="J99" s="31">
        <v>84000</v>
      </c>
      <c r="K99" s="32">
        <f>300*7*12</f>
        <v>25200</v>
      </c>
      <c r="L99" s="31">
        <v>236670</v>
      </c>
      <c r="M99" s="34">
        <v>68166</v>
      </c>
      <c r="N99" s="34">
        <f t="shared" si="36"/>
        <v>63966</v>
      </c>
      <c r="O99" s="34">
        <f t="shared" si="37"/>
        <v>31983</v>
      </c>
      <c r="P99" s="34">
        <f t="shared" si="38"/>
        <v>767529</v>
      </c>
      <c r="Q99" s="5">
        <f t="shared" si="39"/>
        <v>39978.75</v>
      </c>
      <c r="R99" s="5">
        <f t="shared" si="40"/>
        <v>159915</v>
      </c>
      <c r="S99" s="5"/>
      <c r="T99" s="88">
        <f t="shared" si="41"/>
        <v>1287252.75</v>
      </c>
    </row>
    <row r="100" spans="1:21" ht="21.75" customHeight="1">
      <c r="A100" s="17">
        <v>19</v>
      </c>
      <c r="B100" s="89" t="s">
        <v>44</v>
      </c>
      <c r="C100" s="45">
        <v>2</v>
      </c>
      <c r="D100" s="45">
        <v>13</v>
      </c>
      <c r="E100" s="45"/>
      <c r="F100" s="45">
        <v>13</v>
      </c>
      <c r="G100" s="5">
        <f>(9490+9660+9660+10340+10340+10340+8980+7960+8130+4900+4900+4900+4900)*6+(9660+9830+9830+10510+10510+105100+9150+9150+8300+4900+4900+4900+4900)*6</f>
        <v>1836840</v>
      </c>
      <c r="H100" s="31">
        <f>1366*13*12</f>
        <v>213096</v>
      </c>
      <c r="I100" s="31">
        <f>1700*13*12</f>
        <v>265200</v>
      </c>
      <c r="J100" s="31">
        <f>1000*12*13</f>
        <v>156000</v>
      </c>
      <c r="K100" s="32">
        <f>300*13*12</f>
        <v>46800</v>
      </c>
      <c r="L100" s="31">
        <v>437130</v>
      </c>
      <c r="M100" s="34">
        <v>126594</v>
      </c>
      <c r="N100" s="34">
        <f t="shared" si="36"/>
        <v>367368</v>
      </c>
      <c r="O100" s="34">
        <f t="shared" si="37"/>
        <v>183684</v>
      </c>
      <c r="P100" s="34">
        <f t="shared" si="38"/>
        <v>1795872</v>
      </c>
      <c r="Q100" s="5">
        <f t="shared" si="39"/>
        <v>229605</v>
      </c>
      <c r="R100" s="5">
        <f t="shared" si="40"/>
        <v>918420</v>
      </c>
      <c r="S100" s="5"/>
      <c r="T100" s="88">
        <f t="shared" si="41"/>
        <v>4780737</v>
      </c>
    </row>
    <row r="101" spans="1:21" ht="20.100000000000001" customHeight="1">
      <c r="A101" s="370" t="s">
        <v>1</v>
      </c>
      <c r="B101" s="370"/>
      <c r="C101" s="47"/>
      <c r="D101" s="47">
        <f>SUM(D82:D100)</f>
        <v>88</v>
      </c>
      <c r="E101" s="47">
        <f>SUM(E82:E100)</f>
        <v>0</v>
      </c>
      <c r="F101" s="47">
        <f>SUM(F82:F100)</f>
        <v>88</v>
      </c>
      <c r="G101" s="41">
        <f>SUM(G82:G100)</f>
        <v>10266030</v>
      </c>
      <c r="H101" s="41">
        <f t="shared" ref="H101:R101" si="42">SUM(H82:H100)</f>
        <v>1721460</v>
      </c>
      <c r="I101" s="41">
        <f t="shared" si="42"/>
        <v>2033760</v>
      </c>
      <c r="J101" s="41">
        <f t="shared" si="42"/>
        <v>1100388</v>
      </c>
      <c r="K101" s="100">
        <f t="shared" si="42"/>
        <v>151200</v>
      </c>
      <c r="L101" s="41">
        <f t="shared" si="42"/>
        <v>2993859</v>
      </c>
      <c r="M101" s="30">
        <f t="shared" si="42"/>
        <v>1148436.3999999999</v>
      </c>
      <c r="N101" s="41">
        <f t="shared" si="42"/>
        <v>2053206</v>
      </c>
      <c r="O101" s="41">
        <f t="shared" si="42"/>
        <v>1026603</v>
      </c>
      <c r="P101" s="99">
        <f t="shared" si="42"/>
        <v>12228912.4</v>
      </c>
      <c r="Q101" s="41">
        <f>SUM(Q82:Q100)</f>
        <v>1283253.75</v>
      </c>
      <c r="R101" s="41">
        <f t="shared" si="42"/>
        <v>5133015</v>
      </c>
      <c r="S101" s="41">
        <v>515000</v>
      </c>
      <c r="T101" s="30">
        <f>G101+P101+Q101+R101+S101</f>
        <v>29426211.149999999</v>
      </c>
      <c r="U101" s="42"/>
    </row>
    <row r="102" spans="1:21" ht="20.100000000000001" customHeight="1">
      <c r="A102" s="374" t="s">
        <v>93</v>
      </c>
      <c r="B102" s="375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6"/>
      <c r="T102" s="30">
        <v>11100000</v>
      </c>
      <c r="U102" s="42"/>
    </row>
    <row r="103" spans="1:21" ht="20.100000000000001" customHeight="1">
      <c r="A103" s="370" t="s">
        <v>94</v>
      </c>
      <c r="B103" s="370"/>
      <c r="C103" s="48"/>
      <c r="D103" s="49">
        <f t="shared" ref="D103:S103" si="43">SUM(D101,D80,D66,D53,D35,D21,D12)</f>
        <v>227</v>
      </c>
      <c r="E103" s="49">
        <f t="shared" si="43"/>
        <v>0</v>
      </c>
      <c r="F103" s="49">
        <f t="shared" si="43"/>
        <v>227</v>
      </c>
      <c r="G103" s="30">
        <f t="shared" si="43"/>
        <v>27691650</v>
      </c>
      <c r="H103" s="30">
        <f t="shared" si="43"/>
        <v>4658784</v>
      </c>
      <c r="I103" s="30">
        <f t="shared" si="43"/>
        <v>5494080</v>
      </c>
      <c r="J103" s="30">
        <f t="shared" si="43"/>
        <v>2864910</v>
      </c>
      <c r="K103" s="99">
        <f t="shared" si="43"/>
        <v>396000</v>
      </c>
      <c r="L103" s="30">
        <f t="shared" si="43"/>
        <v>8553647</v>
      </c>
      <c r="M103" s="30">
        <f t="shared" si="43"/>
        <v>3133553.2</v>
      </c>
      <c r="N103" s="30">
        <f t="shared" si="43"/>
        <v>5384730</v>
      </c>
      <c r="O103" s="30">
        <f t="shared" si="43"/>
        <v>2692365</v>
      </c>
      <c r="P103" s="99">
        <f t="shared" si="43"/>
        <v>33178069.199999999</v>
      </c>
      <c r="Q103" s="30">
        <f t="shared" si="43"/>
        <v>3365456.25</v>
      </c>
      <c r="R103" s="30">
        <f t="shared" si="43"/>
        <v>13461825</v>
      </c>
      <c r="S103" s="30">
        <f t="shared" si="43"/>
        <v>1200000</v>
      </c>
      <c r="T103" s="30">
        <f>SUM(T102,T101,T80,T66,T53,T35,T21,T12)</f>
        <v>89997000.450000018</v>
      </c>
    </row>
    <row r="104" spans="1:21" ht="20.100000000000001" customHeight="1">
      <c r="T104" s="85"/>
    </row>
    <row r="105" spans="1:21" ht="20.100000000000001" customHeight="1">
      <c r="F105" s="37"/>
      <c r="G105" s="37"/>
      <c r="H105" s="37"/>
      <c r="I105" s="37"/>
      <c r="J105" s="37"/>
    </row>
    <row r="106" spans="1:21" ht="20.100000000000001" customHeight="1">
      <c r="F106" s="37"/>
      <c r="G106" s="43"/>
      <c r="H106" s="43"/>
      <c r="I106" s="43"/>
      <c r="J106" s="43"/>
      <c r="K106" s="37"/>
      <c r="L106" s="42"/>
      <c r="Q106" s="42"/>
    </row>
    <row r="107" spans="1:21" ht="20.100000000000001" customHeight="1">
      <c r="F107" s="37"/>
      <c r="G107" s="68"/>
      <c r="H107" s="37"/>
      <c r="I107" s="37"/>
      <c r="J107" s="37"/>
      <c r="K107" s="37"/>
      <c r="Q107" s="42"/>
      <c r="T107" s="90"/>
    </row>
    <row r="108" spans="1:21" ht="20.100000000000001" customHeight="1">
      <c r="G108" s="42"/>
      <c r="I108" s="37"/>
      <c r="J108" s="68"/>
      <c r="K108" s="37"/>
      <c r="M108" s="42"/>
      <c r="N108" s="42"/>
      <c r="O108" s="42"/>
      <c r="P108" s="42"/>
    </row>
    <row r="109" spans="1:21" ht="20.100000000000001" customHeight="1">
      <c r="G109" s="42"/>
      <c r="I109" s="37"/>
      <c r="J109" s="69"/>
      <c r="K109" s="37"/>
    </row>
    <row r="110" spans="1:21" ht="20.100000000000001" customHeight="1">
      <c r="I110" s="37"/>
      <c r="J110" s="68"/>
      <c r="K110" s="37"/>
    </row>
    <row r="111" spans="1:21" ht="20.100000000000001" customHeight="1">
      <c r="H111" s="42"/>
      <c r="I111" s="37"/>
      <c r="J111" s="37"/>
      <c r="K111" s="37"/>
    </row>
    <row r="112" spans="1:21" ht="20.100000000000001" customHeight="1">
      <c r="I112" s="37"/>
      <c r="J112" s="37"/>
      <c r="K112" s="37"/>
    </row>
  </sheetData>
  <mergeCells count="37">
    <mergeCell ref="A1:T1"/>
    <mergeCell ref="A2:T2"/>
    <mergeCell ref="A3:T3"/>
    <mergeCell ref="B4:B5"/>
    <mergeCell ref="C4:C5"/>
    <mergeCell ref="D4:F4"/>
    <mergeCell ref="K4:K5"/>
    <mergeCell ref="R4:R5"/>
    <mergeCell ref="T4:T5"/>
    <mergeCell ref="A4:A5"/>
    <mergeCell ref="I4:I5"/>
    <mergeCell ref="H4:H5"/>
    <mergeCell ref="S4:S5"/>
    <mergeCell ref="Q4:Q5"/>
    <mergeCell ref="N4:N5"/>
    <mergeCell ref="J4:J5"/>
    <mergeCell ref="A103:B103"/>
    <mergeCell ref="A81:C81"/>
    <mergeCell ref="A101:B101"/>
    <mergeCell ref="A67:C67"/>
    <mergeCell ref="A54:C54"/>
    <mergeCell ref="A102:S102"/>
    <mergeCell ref="A66:B66"/>
    <mergeCell ref="A80:B80"/>
    <mergeCell ref="P4:P5"/>
    <mergeCell ref="M4:M5"/>
    <mergeCell ref="L4:L5"/>
    <mergeCell ref="O4:O5"/>
    <mergeCell ref="A53:B53"/>
    <mergeCell ref="A6:C6"/>
    <mergeCell ref="G4:G5"/>
    <mergeCell ref="A36:C36"/>
    <mergeCell ref="A22:C22"/>
    <mergeCell ref="A21:B21"/>
    <mergeCell ref="A35:B35"/>
    <mergeCell ref="A13:C13"/>
    <mergeCell ref="A12:B12"/>
  </mergeCells>
  <phoneticPr fontId="0" type="noConversion"/>
  <printOptions horizontalCentered="1"/>
  <pageMargins left="1.8" right="0.7" top="0.9" bottom="1" header="0.22" footer="0.5"/>
  <pageSetup paperSize="5" scale="92" firstPageNumber="51" fitToWidth="8" fitToHeight="8" orientation="landscape" useFirstPageNumber="1" r:id="rId1"/>
  <headerFooter alignWithMargins="0">
    <oddHeader>Page &amp;P</oddHeader>
  </headerFooter>
  <rowBreaks count="5" manualBreakCount="5">
    <brk id="21" max="17" man="1"/>
    <brk id="39" max="17" man="1"/>
    <brk id="56" max="17" man="1"/>
    <brk id="73" max="17" man="1"/>
    <brk id="88" max="17" man="1"/>
  </rowBreaks>
  <ignoredErrors>
    <ignoredError sqref="I41 I46 I70 I85 I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BDC -2 Ok</vt:lpstr>
      <vt:lpstr>BDC-3 Ok</vt:lpstr>
      <vt:lpstr>BDC -4 Ok</vt:lpstr>
      <vt:lpstr>BDC -5 new)</vt:lpstr>
      <vt:lpstr>performa </vt:lpstr>
      <vt:lpstr>BDC-4</vt:lpstr>
      <vt:lpstr>BDC -3</vt:lpstr>
      <vt:lpstr>'BDC -3'!Print_Area</vt:lpstr>
      <vt:lpstr>'BDC-3 Ok'!Print_Area</vt:lpstr>
      <vt:lpstr>'BDC-4'!Print_Area</vt:lpstr>
      <vt:lpstr>'performa '!Print_Area</vt:lpstr>
      <vt:lpstr>'BDC -2 Ok'!Print_Titles</vt:lpstr>
      <vt:lpstr>'BDC -3'!Print_Titles</vt:lpstr>
      <vt:lpstr>'BDC -4 Ok'!Print_Titles</vt:lpstr>
      <vt:lpstr>'BDC -5 new)'!Print_Titles</vt:lpstr>
      <vt:lpstr>'BDC-3 Ok'!Print_Titles</vt:lpstr>
      <vt:lpstr>'BDC-4'!Print_Titles</vt:lpstr>
      <vt:lpstr>'performa '!Print_Titles</vt:lpstr>
    </vt:vector>
  </TitlesOfParts>
  <Company>TMA, Faisalabad,City.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</dc:creator>
  <cp:lastModifiedBy>BISMILLAH</cp:lastModifiedBy>
  <cp:lastPrinted>2023-07-07T05:49:42Z</cp:lastPrinted>
  <dcterms:created xsi:type="dcterms:W3CDTF">2004-03-11T09:51:36Z</dcterms:created>
  <dcterms:modified xsi:type="dcterms:W3CDTF">2023-08-03T07:12:18Z</dcterms:modified>
</cp:coreProperties>
</file>